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0F0" lockStructure="1"/>
  <bookViews>
    <workbookView xWindow="9960" yWindow="-90" windowWidth="10275" windowHeight="7650"/>
  </bookViews>
  <sheets>
    <sheet name="Rekenblad" sheetId="1" r:id="rId1"/>
    <sheet name="Parameters" sheetId="2" r:id="rId2"/>
  </sheets>
  <definedNames>
    <definedName name="_xlnm._FilterDatabase" localSheetId="1" hidden="1">Parameters!#REF!</definedName>
  </definedNames>
  <calcPr calcId="145621"/>
</workbook>
</file>

<file path=xl/calcChain.xml><?xml version="1.0" encoding="utf-8"?>
<calcChain xmlns="http://schemas.openxmlformats.org/spreadsheetml/2006/main">
  <c r="B42" i="2" l="1"/>
  <c r="F52" i="2" l="1"/>
  <c r="N68" i="2" l="1"/>
  <c r="N66" i="2"/>
  <c r="N67" i="2"/>
  <c r="I37" i="1" l="1"/>
  <c r="E37" i="1"/>
  <c r="A37" i="1"/>
  <c r="AL16" i="2" l="1"/>
  <c r="G31" i="2" l="1"/>
  <c r="G28" i="2"/>
  <c r="B85" i="2"/>
  <c r="B84" i="2" l="1"/>
  <c r="B86" i="2" l="1"/>
  <c r="B83" i="2"/>
  <c r="H60" i="1"/>
  <c r="H58" i="1"/>
  <c r="H56" i="1"/>
  <c r="AL15" i="2" l="1"/>
  <c r="AL8" i="2"/>
  <c r="AL7"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D37" i="1" l="1"/>
  <c r="D15" i="1"/>
  <c r="B58" i="1" l="1"/>
  <c r="G30" i="2" l="1"/>
  <c r="G29" i="2"/>
  <c r="B60" i="1" l="1"/>
  <c r="G66" i="2"/>
  <c r="J43" i="1"/>
  <c r="G27" i="2"/>
  <c r="G39" i="2"/>
  <c r="G38" i="2"/>
  <c r="G37" i="2"/>
  <c r="G36" i="2"/>
  <c r="G35" i="2"/>
  <c r="G34" i="2"/>
  <c r="G33" i="2"/>
  <c r="G32" i="2"/>
  <c r="G26" i="2"/>
  <c r="G25" i="2"/>
  <c r="G24" i="2"/>
  <c r="B69" i="2"/>
  <c r="F69" i="2"/>
  <c r="H37" i="1"/>
  <c r="D86" i="2"/>
  <c r="D85" i="2"/>
  <c r="D84" i="2"/>
  <c r="D83" i="2"/>
  <c r="D69" i="2" l="1"/>
  <c r="C69" i="2" s="1"/>
  <c r="N65" i="2"/>
  <c r="N69" i="2" s="1"/>
  <c r="H57" i="1" s="1"/>
  <c r="E69" i="2" l="1"/>
  <c r="F73" i="2"/>
  <c r="B73" i="2"/>
  <c r="F62" i="2"/>
  <c r="B62" i="2"/>
  <c r="B61" i="2"/>
  <c r="F61" i="2"/>
  <c r="B60" i="2"/>
  <c r="F60" i="2"/>
  <c r="F59" i="2"/>
  <c r="B59" i="2"/>
  <c r="F53" i="2"/>
  <c r="B53" i="2"/>
  <c r="F55" i="2"/>
  <c r="B55" i="2"/>
  <c r="F68" i="2"/>
  <c r="F67" i="2"/>
  <c r="F66" i="2"/>
  <c r="B68" i="2"/>
  <c r="B67" i="2"/>
  <c r="B66" i="2"/>
  <c r="B51" i="2" l="1"/>
  <c r="F51" i="2"/>
  <c r="F54" i="2"/>
  <c r="B54" i="2"/>
  <c r="B52" i="2" l="1"/>
  <c r="C53" i="2" l="1"/>
  <c r="G52" i="2" l="1"/>
  <c r="G51" i="2"/>
  <c r="E53" i="2"/>
  <c r="D46" i="1" l="1"/>
  <c r="B94" i="2" l="1"/>
  <c r="B93" i="2"/>
  <c r="B92" i="2"/>
  <c r="B91" i="2"/>
  <c r="B90" i="2"/>
  <c r="B89" i="2"/>
  <c r="D42" i="1" l="1"/>
  <c r="F42" i="1" s="1"/>
  <c r="E68" i="2"/>
  <c r="C67" i="2"/>
  <c r="C66" i="2"/>
  <c r="C62" i="2"/>
  <c r="C61" i="2"/>
  <c r="E55" i="2"/>
  <c r="E54" i="2"/>
  <c r="E52" i="2"/>
  <c r="E51" i="2"/>
  <c r="C54" i="2" l="1"/>
  <c r="C51" i="2"/>
  <c r="E61" i="2"/>
  <c r="C68" i="2"/>
  <c r="C52" i="2"/>
  <c r="E62" i="2"/>
  <c r="E66" i="2"/>
  <c r="E67" i="2"/>
  <c r="C55" i="2"/>
  <c r="B98" i="2" l="1"/>
  <c r="D44" i="1" s="1"/>
  <c r="F44" i="1" s="1"/>
  <c r="L42" i="1" s="1"/>
  <c r="E26" i="2" l="1"/>
  <c r="E25" i="2"/>
  <c r="B17" i="1" l="1"/>
  <c r="L13" i="1" s="1"/>
  <c r="B43" i="2" s="1"/>
  <c r="H17" i="1" l="1"/>
  <c r="L15" i="1"/>
  <c r="G59" i="2"/>
  <c r="L17" i="1" l="1"/>
  <c r="H15" i="1"/>
  <c r="J15" i="1"/>
  <c r="G72" i="2"/>
  <c r="J23" i="1"/>
  <c r="L29" i="1" l="1"/>
  <c r="L23" i="1"/>
  <c r="H44" i="1"/>
  <c r="L66" i="2" s="1"/>
  <c r="J69" i="2"/>
  <c r="J65" i="2"/>
  <c r="L65" i="2" s="1"/>
  <c r="J17" i="1"/>
  <c r="D72" i="2"/>
  <c r="F23" i="1" l="1"/>
  <c r="H23" i="1"/>
  <c r="L69" i="2"/>
  <c r="L68" i="2"/>
  <c r="L67" i="2"/>
  <c r="G60" i="2"/>
  <c r="G67" i="2"/>
  <c r="J27" i="1" s="1"/>
  <c r="L27" i="1" s="1"/>
  <c r="G73" i="2"/>
  <c r="J29" i="1" s="1"/>
  <c r="F29" i="1" s="1"/>
  <c r="B59" i="1" l="1"/>
  <c r="L57" i="1" s="1"/>
  <c r="J57" i="1" s="1"/>
  <c r="H29" i="1"/>
  <c r="F27" i="1"/>
  <c r="L37" i="1"/>
  <c r="F57" i="1" l="1"/>
  <c r="H27" i="1"/>
  <c r="J68" i="2"/>
  <c r="J66" i="2"/>
  <c r="J44" i="1" s="1"/>
  <c r="J67" i="2"/>
  <c r="H52" i="1"/>
  <c r="L52" i="1" s="1"/>
  <c r="J52" i="1" l="1"/>
  <c r="B110" i="2"/>
  <c r="H42" i="1"/>
  <c r="J42" i="1" s="1"/>
  <c r="L47" i="1" s="1"/>
  <c r="B109" i="2" s="1"/>
  <c r="B108" i="2"/>
  <c r="B107" i="2"/>
  <c r="B105" i="2"/>
  <c r="H47" i="1" l="1"/>
  <c r="J47" i="1"/>
  <c r="D105" i="2" l="1"/>
  <c r="C59" i="2"/>
  <c r="E59" i="2"/>
  <c r="C60" i="2"/>
  <c r="E60" i="2"/>
  <c r="J25" i="1" s="1"/>
  <c r="L25" i="1" s="1"/>
  <c r="L32" i="1" s="1"/>
  <c r="E73" i="2"/>
  <c r="C73" i="2"/>
  <c r="B106" i="2" l="1"/>
  <c r="C105" i="2" s="1"/>
  <c r="J32" i="1"/>
  <c r="F25" i="1" l="1"/>
  <c r="F32" i="1" s="1"/>
  <c r="H25" i="1"/>
  <c r="H32" i="1" s="1"/>
  <c r="L59" i="1"/>
  <c r="F59" i="1" l="1"/>
  <c r="H59" i="1"/>
  <c r="J59" i="1"/>
  <c r="L61" i="1"/>
  <c r="F61" i="1" l="1"/>
  <c r="H61" i="1"/>
  <c r="J61" i="1"/>
  <c r="E105" i="2"/>
</calcChain>
</file>

<file path=xl/comments1.xml><?xml version="1.0" encoding="utf-8"?>
<comments xmlns="http://schemas.openxmlformats.org/spreadsheetml/2006/main">
  <authors>
    <author>Bert</author>
  </authors>
  <commentList>
    <comment ref="B11" authorId="0">
      <text>
        <r>
          <rPr>
            <sz val="9"/>
            <color indexed="81"/>
            <rFont val="Calibri"/>
            <family val="2"/>
            <scheme val="minor"/>
          </rPr>
          <t>Vul hier de grootte (ha) van het bestand/perceel in</t>
        </r>
      </text>
    </comment>
    <comment ref="L11" authorId="0">
      <text>
        <r>
          <rPr>
            <sz val="9"/>
            <color indexed="81"/>
            <rFont val="Calibri"/>
            <family val="2"/>
            <scheme val="minor"/>
          </rPr>
          <t>Vul hier het volume in dat je bekomt op basis van het spilhout. Dit wil zeggen dat enkel het volume van het stamgedeelte in rekening wordt gebracht en niet het takhoutvolume</t>
        </r>
      </text>
    </comment>
    <comment ref="B13" authorId="0">
      <text>
        <r>
          <rPr>
            <sz val="9"/>
            <color indexed="81"/>
            <rFont val="Calibri"/>
            <family val="2"/>
            <scheme val="minor"/>
          </rPr>
          <t>Kies hier de boomsoort</t>
        </r>
        <r>
          <rPr>
            <sz val="9"/>
            <color indexed="81"/>
            <rFont val="Tahoma"/>
            <family val="2"/>
          </rPr>
          <t xml:space="preserve"> </t>
        </r>
      </text>
    </comment>
    <comment ref="D13" authorId="0">
      <text>
        <r>
          <rPr>
            <sz val="9"/>
            <color indexed="81"/>
            <rFont val="Calibri"/>
            <family val="2"/>
            <scheme val="minor"/>
          </rPr>
          <t>Het vochtgehalte op stam is afhankelijk van het tijdstip, de standplaats en de boomsoort. In het voorjaar, op natte standplaatsen, bij Populier, Wilg... is een hoger vochtgehalte mogelijk. In het najaar, op droge standplaatsen, bij Berk, Grove den… is een lager vochtgehalte mogelijk</t>
        </r>
      </text>
    </comment>
    <comment ref="B15" authorId="0">
      <text>
        <r>
          <rPr>
            <sz val="9"/>
            <color indexed="81"/>
            <rFont val="Calibri"/>
            <family val="2"/>
            <scheme val="minor"/>
          </rPr>
          <t>Kies hier de takbezetting: bij randbomen, houtkanten en solitaire bomen ligt de takbezetting hoger dan bij bomen in bosverband</t>
        </r>
      </text>
    </comment>
    <comment ref="H15" authorId="0">
      <text>
        <r>
          <rPr>
            <sz val="9"/>
            <color indexed="81"/>
            <rFont val="Calibri"/>
            <family val="2"/>
            <scheme val="minor"/>
          </rPr>
          <t xml:space="preserve">Dit is het % takhout dat niet geoogst zal worden, maar teruggegeven wordt aan de natuur </t>
        </r>
      </text>
    </comment>
    <comment ref="D17" authorId="0">
      <text>
        <r>
          <rPr>
            <sz val="9"/>
            <color indexed="81"/>
            <rFont val="Calibri"/>
            <family val="2"/>
            <scheme val="minor"/>
          </rPr>
          <t>Kies hier wat er van het tak- en tophout geoogst zal worden</t>
        </r>
      </text>
    </comment>
    <comment ref="F17" authorId="0">
      <text>
        <r>
          <rPr>
            <sz val="9"/>
            <color indexed="81"/>
            <rFont val="Calibri"/>
            <family val="2"/>
            <scheme val="minor"/>
          </rPr>
          <t>Vul hier het technisch oogstverlies (%) in: door de technische beperkingen van het oogstsysteem of de machine kan een deel van het tak- en tophout niet verzameld en verwerkt worden</t>
        </r>
      </text>
    </comment>
    <comment ref="D23" authorId="0">
      <text>
        <r>
          <rPr>
            <sz val="9"/>
            <color indexed="81"/>
            <rFont val="Calibri"/>
            <family val="2"/>
            <scheme val="minor"/>
          </rPr>
          <t>De moeilijkheidsgraad bij het oogsten wordt o.a. bepaald door het aantal bomen/ha, de stamdiameter, de af te leggen afstand tussen elke boom, aanwezige obstakels, de hellingsgraad van het terrein, de gebruikte oogstmachine of het oogstsysteem ...</t>
        </r>
      </text>
    </comment>
    <comment ref="D25" authorId="0">
      <text>
        <r>
          <rPr>
            <sz val="9"/>
            <color indexed="81"/>
            <rFont val="Calibri"/>
            <family val="2"/>
            <scheme val="minor"/>
          </rPr>
          <t>De moeilijkheidsgraad bij het verzamelen en uitrijden wordt o.a. bepaald door het aantal stammen, de lengte van de toppen, de af te leggen afstand tussen elke stapel met tak- en tophout en de centrale stockeerplaats, de staat van de weg, de aanwezige obstakels, de hellingsgraad  van het terrein, de gebruikte uitrij-/uitsleepcombinatie of het oogstsysteem ...</t>
        </r>
      </text>
    </comment>
    <comment ref="D27" authorId="0">
      <text>
        <r>
          <rPr>
            <sz val="9"/>
            <color indexed="81"/>
            <rFont val="Calibri"/>
            <family val="2"/>
            <scheme val="minor"/>
          </rPr>
          <t>De moeilijkheidsgraad bij het verwerken van het tak- en tophout tot houtsnippers wordt o.a. bepaald door: de stamdiameter, de af te leggen afstand tussen elke stapel met tak-en tophout en de plaats waar de houtchips in een container geblazen/gelost worden, de gebruikte verchipper of de verwerkingscombinatie ...</t>
        </r>
      </text>
    </comment>
    <comment ref="D29" authorId="0">
      <text>
        <r>
          <rPr>
            <sz val="9"/>
            <color indexed="81"/>
            <rFont val="Calibri"/>
            <family val="2"/>
            <scheme val="minor"/>
          </rPr>
          <t>De moeilijkheidsgraad bij het uitrijden van de houtchips hangt o.a. af van de afstand tot de plaats waar het wegtransport begint, de terreinomstandigheden en de berijdbaarheid van de wegen ...</t>
        </r>
      </text>
    </comment>
    <comment ref="B31" authorId="0">
      <text>
        <r>
          <rPr>
            <sz val="9"/>
            <color indexed="81"/>
            <rFont val="Calibri"/>
            <family val="2"/>
            <scheme val="minor"/>
          </rPr>
          <t>Dit is een vergoeding voor het transporteren van de oogst- en verwerkingsmachines naar en van het bos/de houtkant</t>
        </r>
      </text>
    </comment>
    <comment ref="B37" authorId="0">
      <text>
        <r>
          <rPr>
            <sz val="9"/>
            <color indexed="81"/>
            <rFont val="Calibri"/>
            <family val="2"/>
            <scheme val="minor"/>
          </rPr>
          <t>Kies hier het vochtgehalte van het energiehout bij levering aan de poort van de biomassainstallatie of de koper. Bij energiehout is het vochtgehalte belangrijk om een prijs te bepalen. Hoe lager het vochtgehalte hoe hoger de energetisch en financiële waarde</t>
        </r>
      </text>
    </comment>
    <comment ref="F37" authorId="0">
      <text>
        <r>
          <rPr>
            <sz val="9"/>
            <color indexed="81"/>
            <rFont val="Calibri"/>
            <family val="2"/>
            <scheme val="minor"/>
          </rPr>
          <t>Brandhout: kies hier de verwerkingsvorm
 indien het tak- en tophout verwerkt wordt tot brandhout. Opmerking: (B) = los gestort of bulk, (G) = gestapeld</t>
        </r>
      </text>
    </comment>
    <comment ref="J37" authorId="0">
      <text>
        <r>
          <rPr>
            <sz val="9"/>
            <color indexed="81"/>
            <rFont val="Calibri"/>
            <family val="2"/>
            <scheme val="minor"/>
          </rPr>
          <t>Kies hier de kalibratie (</t>
        </r>
        <r>
          <rPr>
            <sz val="9"/>
            <color indexed="81"/>
            <rFont val="Calibri"/>
            <family val="2"/>
          </rPr>
          <t xml:space="preserve">Önorm) </t>
        </r>
        <r>
          <rPr>
            <sz val="9"/>
            <color indexed="81"/>
            <rFont val="Calibri"/>
            <family val="2"/>
            <scheme val="minor"/>
          </rPr>
          <t>van de houtchips.
Dit is afhankelijk van de gebruikte chipper. Ken je de kalibratie niet, kies dan voor 'G-klasse niet gekend'</t>
        </r>
      </text>
    </comment>
    <comment ref="B42"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B44"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B46" authorId="0">
      <text>
        <r>
          <rPr>
            <sz val="9"/>
            <color indexed="81"/>
            <rFont val="Calibri"/>
            <family val="2"/>
            <scheme val="minor"/>
          </rPr>
          <t>Kies hier een transportmiddel. Afhankelijk van het gekozen transportmiddel kan een bepaalde hoeveelheid (m³) per rit getransporteerd worden</t>
        </r>
      </text>
    </comment>
    <comment ref="B52" authorId="0">
      <text>
        <r>
          <rPr>
            <sz val="9"/>
            <color indexed="81"/>
            <rFont val="Calibri"/>
            <family val="2"/>
            <scheme val="minor"/>
          </rPr>
          <t>Afhankelijk van het aandeel zand en de vervuilingsgraad wordt een prijsvermindering toegepast</t>
        </r>
      </text>
    </comment>
  </commentList>
</comments>
</file>

<file path=xl/sharedStrings.xml><?xml version="1.0" encoding="utf-8"?>
<sst xmlns="http://schemas.openxmlformats.org/spreadsheetml/2006/main" count="294" uniqueCount="200">
  <si>
    <r>
      <t>A1 &lt;</t>
    </r>
    <r>
      <rPr>
        <sz val="11"/>
        <color theme="1"/>
        <rFont val="Calibri"/>
        <family val="2"/>
      </rPr>
      <t>0,5</t>
    </r>
    <r>
      <rPr>
        <sz val="11"/>
        <color theme="1"/>
        <rFont val="Calibri"/>
        <family val="2"/>
        <scheme val="minor"/>
      </rPr>
      <t>%</t>
    </r>
  </si>
  <si>
    <t>A2 &lt;0,5 en &lt;2%</t>
  </si>
  <si>
    <t>N.v.t.</t>
  </si>
  <si>
    <t>G30</t>
  </si>
  <si>
    <t>G40</t>
  </si>
  <si>
    <t>G50</t>
  </si>
  <si>
    <t>G20</t>
  </si>
  <si>
    <t>Theoretisch aantal ritten</t>
  </si>
  <si>
    <t>Werkelijk aantal ritten</t>
  </si>
  <si>
    <t>Beuk</t>
  </si>
  <si>
    <t>Verchipfactor</t>
  </si>
  <si>
    <r>
      <t>Volumieke massa (kg/m</t>
    </r>
    <r>
      <rPr>
        <vertAlign val="superscript"/>
        <sz val="11"/>
        <color theme="1"/>
        <rFont val="Calibri"/>
        <family val="2"/>
        <scheme val="minor"/>
      </rPr>
      <t>3</t>
    </r>
    <r>
      <rPr>
        <sz val="11"/>
        <color theme="1"/>
        <rFont val="Calibri"/>
        <family val="2"/>
        <scheme val="minor"/>
      </rPr>
      <t>)</t>
    </r>
  </si>
  <si>
    <t>Harvester</t>
  </si>
  <si>
    <t>Kraan met knipkop</t>
  </si>
  <si>
    <t>Kraan met zaagkop</t>
  </si>
  <si>
    <t>Forwarder</t>
  </si>
  <si>
    <r>
      <t xml:space="preserve">Asgehalte (prijsvermindering), </t>
    </r>
    <r>
      <rPr>
        <b/>
        <sz val="11"/>
        <color theme="1"/>
        <rFont val="Calibri"/>
        <family val="2"/>
      </rPr>
      <t>ÖNORM</t>
    </r>
  </si>
  <si>
    <t>1. Oppervlakte, volume en tonnage:</t>
  </si>
  <si>
    <t>Gemiddeld</t>
  </si>
  <si>
    <t>Inkomsten</t>
  </si>
  <si>
    <t>Uitgaven</t>
  </si>
  <si>
    <t>Vergelijken functie:</t>
  </si>
  <si>
    <t>Minimaal</t>
  </si>
  <si>
    <t>Maximaal</t>
  </si>
  <si>
    <t>Kettingzaag</t>
  </si>
  <si>
    <t>Uitrijwagen met tractor</t>
  </si>
  <si>
    <t>Transportmiddel</t>
  </si>
  <si>
    <t>Kostprijs wachten</t>
  </si>
  <si>
    <t>Kostprijs /heen en terug</t>
  </si>
  <si>
    <t>Transport</t>
  </si>
  <si>
    <t>Oogsten</t>
  </si>
  <si>
    <t>Opbrengst</t>
  </si>
  <si>
    <t>Moeilijkheidsgraad</t>
  </si>
  <si>
    <t>Prijsvermindering as</t>
  </si>
  <si>
    <t>G-klasse niet gekend</t>
  </si>
  <si>
    <t>Biomassa expansiefactoren (BEF):</t>
  </si>
  <si>
    <t>Biomassa expansiefactor</t>
  </si>
  <si>
    <t>Volume spilhout (m³)</t>
  </si>
  <si>
    <t>Oogstbaar volume (m³)</t>
  </si>
  <si>
    <t>Oogstbaar tonnage (ton)</t>
  </si>
  <si>
    <t>REFERENTIES:</t>
  </si>
  <si>
    <t>2) Houtige biomassa voor energie in Limburg, MIP-project, Gybels, R., Wouters, R., Schuurmans, B. &amp; Verbeke, W., Inverde expertisecentrum 2012
Houtige biomassa voor energie in Limburg. Eindrapport van het MIP2-project
“Limburgs groen voor een groene economie”, 159 pp.</t>
  </si>
  <si>
    <r>
      <t>3) KOBE-rapport B3, Technieken en strategie</t>
    </r>
    <r>
      <rPr>
        <sz val="11"/>
        <color theme="1"/>
        <rFont val="Calibri"/>
        <family val="2"/>
      </rPr>
      <t>ën voor de oogst van houtie biomassa,resultaten van de terreinexperimenten in "Bosland", Jeroen Osselaere, Pieter Vangansbeke, ANB en Inverde 2013
Pieter Vangansbeke
UITGEVOERD IN “BOSLAND”</t>
    </r>
    <r>
      <rPr>
        <sz val="11"/>
        <color theme="1"/>
        <rFont val="Calibri"/>
        <family val="2"/>
        <scheme val="minor"/>
      </rPr>
      <t xml:space="preserve">
VOOR DE OOGST VAN HOUTIGE
BIOMASSA (B3)
RESULTATEN VAN DE TERREINEXPERIMENTEN
UITGEVOERD IN “BOSLAND” </t>
    </r>
  </si>
  <si>
    <t>4) KOBE-rapport B9, Wijze biomassaverkoop, resultaten van 2 praktijkgevallen en een workshop, Kim Dekeyser, Willy Verbeke, ANB en Inverde 2013</t>
  </si>
  <si>
    <t>Kosten</t>
  </si>
  <si>
    <t>Volume takhout (m³)</t>
  </si>
  <si>
    <t>Tractor met lier</t>
  </si>
  <si>
    <t>Grove den</t>
  </si>
  <si>
    <t>Populier</t>
  </si>
  <si>
    <r>
      <t>Aanrijvergoeding (</t>
    </r>
    <r>
      <rPr>
        <sz val="11"/>
        <color theme="1"/>
        <rFont val="Calibri"/>
        <family val="2"/>
      </rPr>
      <t>€)</t>
    </r>
  </si>
  <si>
    <t>Volume spil + tak (m³)</t>
  </si>
  <si>
    <t>Vochtgehalte op stam</t>
  </si>
  <si>
    <t>Amerikaanse eik</t>
  </si>
  <si>
    <t>Inlandse eik</t>
  </si>
  <si>
    <t>Berk</t>
  </si>
  <si>
    <t>Tamme kastanje</t>
  </si>
  <si>
    <t>Es</t>
  </si>
  <si>
    <t>Esdoorn</t>
  </si>
  <si>
    <t>Boskers</t>
  </si>
  <si>
    <t>Ander loofhout</t>
  </si>
  <si>
    <t>Lariks</t>
  </si>
  <si>
    <t>Fijnspar</t>
  </si>
  <si>
    <t>Douglas</t>
  </si>
  <si>
    <t>Ander naaldhout</t>
  </si>
  <si>
    <t>Takbezetting</t>
  </si>
  <si>
    <t>Tonnage</t>
  </si>
  <si>
    <t>Totaal transportkost:</t>
  </si>
  <si>
    <t>Grootte bestand (ha)</t>
  </si>
  <si>
    <t>Totale kost:</t>
  </si>
  <si>
    <t>Opbrengsten:</t>
  </si>
  <si>
    <t>2. Berekenen van de kosten:</t>
  </si>
  <si>
    <t>6) Kostenefficiënte en 
verantwoorde oogst van 
tak- en tophout, Martijn Boosten &amp; Jan Oldenburger, Probos Wageningen december 2013</t>
  </si>
  <si>
    <t>Contactpersoon:</t>
  </si>
  <si>
    <t>Euro/ton</t>
  </si>
  <si>
    <t>Grafieken kostenverhouding:</t>
  </si>
  <si>
    <r>
      <t>Wachtijd</t>
    </r>
    <r>
      <rPr>
        <b/>
        <sz val="11"/>
        <color theme="1"/>
        <rFont val="Calibri"/>
        <family val="2"/>
        <scheme val="minor"/>
      </rPr>
      <t>:</t>
    </r>
  </si>
  <si>
    <t>Euro/uur</t>
  </si>
  <si>
    <t>Euro/minuut</t>
  </si>
  <si>
    <t>Volumieke massa:</t>
  </si>
  <si>
    <t>PARAMETERS:</t>
  </si>
  <si>
    <t>Oostenrijkse norm/kalibratie:</t>
  </si>
  <si>
    <t>Vochtgehalte</t>
  </si>
  <si>
    <t>Transportmiddel:</t>
  </si>
  <si>
    <t>Boomsoort</t>
  </si>
  <si>
    <t>Alles oogsten</t>
  </si>
  <si>
    <t>Return to nature:</t>
  </si>
  <si>
    <t>Technisch oogstverlies %</t>
  </si>
  <si>
    <t>Return to nature %</t>
  </si>
  <si>
    <t>Wat gaan we oogsten?</t>
  </si>
  <si>
    <t>Ondergemiddeld</t>
  </si>
  <si>
    <t>Bovengemiddeld</t>
  </si>
  <si>
    <t>Corsicaanse den</t>
  </si>
  <si>
    <t>Oogstmachine  (€/m³):</t>
  </si>
  <si>
    <t>Verzamelen en uitrijden hout (€/m³):</t>
  </si>
  <si>
    <t>Totaal tonnage (ton)</t>
  </si>
  <si>
    <t>5) Normenboek Natuur, Bos Landschap, Alterra Wageningen 2014</t>
  </si>
  <si>
    <t>Euro/ha</t>
  </si>
  <si>
    <r>
      <rPr>
        <sz val="11"/>
        <color theme="1"/>
        <rFont val="Calibri"/>
        <family val="2"/>
      </rPr>
      <t>Euro</t>
    </r>
    <r>
      <rPr>
        <sz val="11"/>
        <color theme="1"/>
        <rFont val="Calibri"/>
        <family val="2"/>
        <scheme val="minor"/>
      </rPr>
      <t>/m³</t>
    </r>
  </si>
  <si>
    <t>Euro/m³</t>
  </si>
  <si>
    <t>Rijtijd heen en terug</t>
  </si>
  <si>
    <t>Wachttijd heen en terug</t>
  </si>
  <si>
    <t>Kostprijs rijden/minuut</t>
  </si>
  <si>
    <t>Kostprijs rijden</t>
  </si>
  <si>
    <t>Kostprijs wachten/minuut</t>
  </si>
  <si>
    <t>Skidder</t>
  </si>
  <si>
    <t>Kraan en kettingzaag</t>
  </si>
  <si>
    <t>Verchipt volume (bulk m³)</t>
  </si>
  <si>
    <t>Maximale bulk m³/rit</t>
  </si>
  <si>
    <t>Tractor, 1 container</t>
  </si>
  <si>
    <t>VW, 2 containers</t>
  </si>
  <si>
    <t>VW, 1 container</t>
  </si>
  <si>
    <t>VW, 1 container+</t>
  </si>
  <si>
    <t>VW, 2 containers+</t>
  </si>
  <si>
    <t>Geoogst m³</t>
  </si>
  <si>
    <t>Enkel stamhout</t>
  </si>
  <si>
    <t>Return to nature m³</t>
  </si>
  <si>
    <r>
      <t>€</t>
    </r>
    <r>
      <rPr>
        <b/>
        <sz val="10.25"/>
        <color theme="1"/>
        <rFont val="Calibri"/>
        <family val="2"/>
      </rPr>
      <t>/minuut</t>
    </r>
  </si>
  <si>
    <t>Geografische gegevens:</t>
  </si>
  <si>
    <t>Perceel-/bestandsnummer:</t>
  </si>
  <si>
    <t>Verwerking brandhout</t>
  </si>
  <si>
    <t>Brandhout:</t>
  </si>
  <si>
    <t>Stapelfactor</t>
  </si>
  <si>
    <t>30 cm, gekliefd (B)</t>
  </si>
  <si>
    <t>50 cm, gekliefd (B)</t>
  </si>
  <si>
    <r>
      <rPr>
        <b/>
        <sz val="11"/>
        <rFont val="Calibri"/>
        <family val="2"/>
      </rPr>
      <t>Euro</t>
    </r>
    <r>
      <rPr>
        <b/>
        <sz val="11"/>
        <rFont val="Calibri"/>
        <family val="2"/>
        <scheme val="minor"/>
      </rPr>
      <t>/ton</t>
    </r>
  </si>
  <si>
    <t>Hulptabel:</t>
  </si>
  <si>
    <t>Brandhout</t>
  </si>
  <si>
    <t>stère</t>
  </si>
  <si>
    <t>Houtsnippers</t>
  </si>
  <si>
    <t>ton</t>
  </si>
  <si>
    <t>Verwerken</t>
  </si>
  <si>
    <t>Verwerkt tot:</t>
  </si>
  <si>
    <t>Hardhout</t>
  </si>
  <si>
    <t>Zachthout</t>
  </si>
  <si>
    <r>
      <t xml:space="preserve">Verwerkingskost </t>
    </r>
    <r>
      <rPr>
        <b/>
        <sz val="11"/>
        <color theme="1"/>
        <rFont val="Calibri"/>
        <family val="2"/>
      </rPr>
      <t>€</t>
    </r>
    <r>
      <rPr>
        <b/>
        <sz val="10.25"/>
        <color theme="1"/>
        <rFont val="Calibri"/>
        <family val="2"/>
      </rPr>
      <t>/</t>
    </r>
    <r>
      <rPr>
        <b/>
        <sz val="11"/>
        <color theme="1"/>
        <rFont val="Calibri"/>
        <family val="2"/>
        <scheme val="minor"/>
      </rPr>
      <t>m³:</t>
    </r>
  </si>
  <si>
    <t>Uitgaven:</t>
  </si>
  <si>
    <t>Inkomsten:</t>
  </si>
  <si>
    <r>
      <rPr>
        <b/>
        <sz val="11"/>
        <color theme="1"/>
        <rFont val="Calibri"/>
        <family val="2"/>
      </rPr>
      <t>Euro</t>
    </r>
    <r>
      <rPr>
        <b/>
        <sz val="11"/>
        <color theme="1"/>
        <rFont val="Calibri"/>
        <family val="2"/>
        <scheme val="minor"/>
      </rPr>
      <t>/m³</t>
    </r>
  </si>
  <si>
    <t>Verzamelen en uitrijden</t>
  </si>
  <si>
    <t>4. Kostenverhoudingen:</t>
  </si>
  <si>
    <t xml:space="preserve">    2.1 Berekenen van de kosten voor het oogsten, uitrijden en verwerken van het energiehout en het transport tot de openbare weg</t>
  </si>
  <si>
    <t xml:space="preserve">    2.2 Parameters voor het bepalen van het gewicht en het volume van het energiehout</t>
  </si>
  <si>
    <t>A1 &lt;0,5%</t>
  </si>
  <si>
    <t>Uitrijden chips/brandhout</t>
  </si>
  <si>
    <t>Volume (stère)</t>
  </si>
  <si>
    <t>1 m, gekliefd (G)</t>
  </si>
  <si>
    <t>3 m, ongekliefd (G)</t>
  </si>
  <si>
    <t>Kost verwerken</t>
  </si>
  <si>
    <t>Kost verzamelen</t>
  </si>
  <si>
    <t>Kost uitrijden</t>
  </si>
  <si>
    <t>Oogstkost</t>
  </si>
  <si>
    <t>30m³ container</t>
  </si>
  <si>
    <t>40m³ container</t>
  </si>
  <si>
    <t>Lengte</t>
  </si>
  <si>
    <t>Breedte</t>
  </si>
  <si>
    <t>2,50m</t>
  </si>
  <si>
    <t>2,55m</t>
  </si>
  <si>
    <t>Hoogte</t>
  </si>
  <si>
    <t>Binnenafmetingen:</t>
  </si>
  <si>
    <t>5,50m</t>
  </si>
  <si>
    <t>7,00m</t>
  </si>
  <si>
    <t>2,30m</t>
  </si>
  <si>
    <t>Parameters houtige biomassa op stam:</t>
  </si>
  <si>
    <t>Opmerkingen:</t>
  </si>
  <si>
    <t>&lt;=35%</t>
  </si>
  <si>
    <t>&lt;=40%</t>
  </si>
  <si>
    <t>&lt;=45%</t>
  </si>
  <si>
    <t>&lt;=50%</t>
  </si>
  <si>
    <t>&lt;=55%</t>
  </si>
  <si>
    <t>&lt;=60%</t>
  </si>
  <si>
    <t>&gt;60%</t>
  </si>
  <si>
    <t>Prijsvermindering as:</t>
  </si>
  <si>
    <r>
      <t>Opbrengst brandhout €/st</t>
    </r>
    <r>
      <rPr>
        <b/>
        <sz val="11"/>
        <color theme="1"/>
        <rFont val="Calibri"/>
        <family val="2"/>
      </rPr>
      <t>è</t>
    </r>
    <r>
      <rPr>
        <b/>
        <sz val="11"/>
        <color theme="1"/>
        <rFont val="Calibri"/>
        <family val="2"/>
        <scheme val="minor"/>
      </rPr>
      <t>re</t>
    </r>
  </si>
  <si>
    <r>
      <t>Euro</t>
    </r>
    <r>
      <rPr>
        <sz val="8.8000000000000007"/>
        <color theme="0"/>
        <rFont val="Calibri"/>
        <family val="2"/>
      </rPr>
      <t>/</t>
    </r>
    <r>
      <rPr>
        <sz val="11"/>
        <color theme="0"/>
        <rFont val="Calibri"/>
        <family val="2"/>
      </rPr>
      <t>stère</t>
    </r>
  </si>
  <si>
    <r>
      <t>Euro</t>
    </r>
    <r>
      <rPr>
        <sz val="8.8000000000000007"/>
        <color theme="0"/>
        <rFont val="Calibri"/>
        <family val="2"/>
      </rPr>
      <t>/</t>
    </r>
    <r>
      <rPr>
        <sz val="11"/>
        <color theme="0"/>
        <rFont val="Calibri"/>
        <family val="2"/>
      </rPr>
      <t>ton</t>
    </r>
  </si>
  <si>
    <r>
      <t xml:space="preserve">Prijs </t>
    </r>
    <r>
      <rPr>
        <b/>
        <sz val="11"/>
        <color theme="0"/>
        <rFont val="Calibri"/>
        <family val="2"/>
      </rPr>
      <t>€/stère</t>
    </r>
  </si>
  <si>
    <t xml:space="preserve">1) Spreadsheet for the calculation of parameters and prices of wood fuel assortments, Klima Activ, Oostenrijks Energie Agentschap, </t>
  </si>
  <si>
    <r>
      <t>Bulk m</t>
    </r>
    <r>
      <rPr>
        <b/>
        <vertAlign val="superscript"/>
        <sz val="11"/>
        <color theme="1"/>
        <rFont val="Calibri"/>
        <family val="2"/>
        <scheme val="minor"/>
      </rPr>
      <t>3</t>
    </r>
    <r>
      <rPr>
        <b/>
        <sz val="11"/>
        <color theme="1"/>
        <rFont val="Calibri"/>
        <family val="2"/>
        <scheme val="minor"/>
      </rPr>
      <t>/eenheid</t>
    </r>
  </si>
  <si>
    <t>Geleverd aan de poort van de biomassacentrale</t>
  </si>
  <si>
    <t>Vochtgehalte energiehout</t>
  </si>
  <si>
    <t>Totaal inkomsten:</t>
  </si>
  <si>
    <t>Totaal uitgaven:</t>
  </si>
  <si>
    <t>Totaal opbrengsten:</t>
  </si>
  <si>
    <t>Werkjaar 2015:</t>
  </si>
  <si>
    <t>OPMERKINGEN:</t>
  </si>
  <si>
    <t>Container carrier</t>
  </si>
  <si>
    <r>
      <t>Kosten-batenanalyse: houtige biomassa op stam (</t>
    </r>
    <r>
      <rPr>
        <b/>
        <sz val="24"/>
        <color theme="1"/>
        <rFont val="Calibri"/>
        <family val="2"/>
      </rPr>
      <t>€/</t>
    </r>
    <r>
      <rPr>
        <b/>
        <sz val="24"/>
        <color theme="1"/>
        <rFont val="Calibri"/>
        <family val="2"/>
        <scheme val="minor"/>
      </rPr>
      <t>m³)</t>
    </r>
  </si>
  <si>
    <t>VW, walking floor</t>
  </si>
  <si>
    <t>De vermelde prijzen zijn indicatief en exclusief btw</t>
  </si>
  <si>
    <t>Chipper met kraan</t>
  </si>
  <si>
    <t>Chipper met opvang</t>
  </si>
  <si>
    <t>Chipper en rupskraan</t>
  </si>
  <si>
    <t>Verwerken (€/m³):</t>
  </si>
  <si>
    <t>Verwerking houtchips</t>
  </si>
  <si>
    <t xml:space="preserve">    2.3 Berekenen van de kosten voor het transport, heen en terug, van het energiehout naar de centrale (houtchips) of paticulier koper (brandhout)</t>
  </si>
  <si>
    <t xml:space="preserve">    2.4 Prijsvermindering door een te hoog asgehalte (enkel van toepassing op houtchips)</t>
  </si>
  <si>
    <t>Prijsbepaling houtchips:</t>
  </si>
  <si>
    <t>Uitrijden houtchips (€/m³):</t>
  </si>
  <si>
    <t>3. Inkomsten, uitgaven (excl. aankoop hout op stam) en opbrengsten:</t>
  </si>
  <si>
    <r>
      <t>Asgehalte (</t>
    </r>
    <r>
      <rPr>
        <sz val="11"/>
        <color theme="1"/>
        <rFont val="Calibri"/>
        <family val="2"/>
      </rPr>
      <t>Önorm)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</si>
</sst>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 #,##0.00_ ;_ * \-#,##0.00_ ;_ * &quot;-&quot;??_ ;_ @_ "/>
    <numFmt numFmtId="164" formatCode="&quot;€&quot;\ #,##0.00"/>
    <numFmt numFmtId="165" formatCode="0.0"/>
    <numFmt numFmtId="166" formatCode="0.00_ ;[Red]\-0.00\ "/>
    <numFmt numFmtId="167" formatCode="&quot;€&quot;\ #,##0"/>
  </numFmts>
  <fonts count="32" x14ac:knownFonts="1">
    <font>
      <sz val="11"/>
      <color theme="1"/>
      <name val="Calibri"/>
      <family val="2"/>
      <scheme val="minor"/>
    </font>
    <font>
      <b/>
      <sz val="11"/>
      <color theme="3"/>
      <name val="Calibri"/>
      <family val="2"/>
      <scheme val="minor"/>
    </font>
    <font>
      <sz val="11"/>
      <color theme="0"/>
      <name val="Calibri"/>
      <family val="2"/>
      <scheme val="minor"/>
    </font>
    <font>
      <sz val="14"/>
      <color theme="1"/>
      <name val="Calibri"/>
      <family val="2"/>
      <scheme val="minor"/>
    </font>
    <font>
      <sz val="9"/>
      <color indexed="81"/>
      <name val="Tahoma"/>
      <family val="2"/>
    </font>
    <font>
      <i/>
      <sz val="11"/>
      <color theme="1"/>
      <name val="Calibri"/>
      <family val="2"/>
      <scheme val="minor"/>
    </font>
    <font>
      <b/>
      <sz val="11"/>
      <color theme="1"/>
      <name val="Calibri"/>
      <family val="2"/>
      <scheme val="minor"/>
    </font>
    <font>
      <vertAlign val="superscript"/>
      <sz val="11"/>
      <color theme="1"/>
      <name val="Calibri"/>
      <family val="2"/>
      <scheme val="minor"/>
    </font>
    <font>
      <sz val="11"/>
      <name val="Calibri"/>
      <family val="2"/>
      <scheme val="minor"/>
    </font>
    <font>
      <sz val="11"/>
      <color theme="1"/>
      <name val="Calibri"/>
      <family val="2"/>
    </font>
    <font>
      <b/>
      <vertAlign val="superscript"/>
      <sz val="11"/>
      <color theme="1"/>
      <name val="Calibri"/>
      <family val="2"/>
      <scheme val="minor"/>
    </font>
    <font>
      <sz val="11"/>
      <color rgb="FFFF0000"/>
      <name val="Calibri"/>
      <family val="2"/>
      <scheme val="minor"/>
    </font>
    <font>
      <i/>
      <sz val="16"/>
      <color theme="1"/>
      <name val="Calibri"/>
      <family val="2"/>
      <scheme val="minor"/>
    </font>
    <font>
      <b/>
      <sz val="18"/>
      <color theme="1"/>
      <name val="Calibri"/>
      <family val="2"/>
      <scheme val="minor"/>
    </font>
    <font>
      <b/>
      <sz val="11"/>
      <name val="Calibri"/>
      <family val="2"/>
      <scheme val="minor"/>
    </font>
    <font>
      <sz val="9"/>
      <color indexed="81"/>
      <name val="Calibri"/>
      <family val="2"/>
      <scheme val="minor"/>
    </font>
    <font>
      <b/>
      <sz val="11"/>
      <color theme="1"/>
      <name val="Calibri"/>
      <family val="2"/>
    </font>
    <font>
      <sz val="11"/>
      <color theme="3"/>
      <name val="Calibri"/>
      <family val="2"/>
      <scheme val="minor"/>
    </font>
    <font>
      <i/>
      <sz val="11"/>
      <color theme="3"/>
      <name val="Calibri"/>
      <family val="2"/>
      <scheme val="minor"/>
    </font>
    <font>
      <b/>
      <sz val="11"/>
      <color theme="0"/>
      <name val="Calibri"/>
      <family val="2"/>
      <scheme val="minor"/>
    </font>
    <font>
      <b/>
      <sz val="24"/>
      <color theme="1"/>
      <name val="Calibri"/>
      <family val="2"/>
      <scheme val="minor"/>
    </font>
    <font>
      <sz val="11"/>
      <color theme="1"/>
      <name val="Calibri"/>
      <family val="2"/>
      <scheme val="minor"/>
    </font>
    <font>
      <b/>
      <sz val="10.25"/>
      <color theme="1"/>
      <name val="Calibri"/>
      <family val="2"/>
    </font>
    <font>
      <i/>
      <sz val="12"/>
      <color theme="1"/>
      <name val="Calibri"/>
      <family val="2"/>
      <scheme val="minor"/>
    </font>
    <font>
      <b/>
      <sz val="11"/>
      <name val="Calibri"/>
      <family val="2"/>
    </font>
    <font>
      <b/>
      <sz val="11"/>
      <color theme="4"/>
      <name val="Calibri"/>
      <family val="2"/>
      <scheme val="minor"/>
    </font>
    <font>
      <sz val="11"/>
      <color theme="0"/>
      <name val="Calibri"/>
      <family val="2"/>
    </font>
    <font>
      <sz val="8.8000000000000007"/>
      <color theme="0"/>
      <name val="Calibri"/>
      <family val="2"/>
    </font>
    <font>
      <b/>
      <sz val="11"/>
      <color theme="0"/>
      <name val="Calibri"/>
      <family val="2"/>
    </font>
    <font>
      <b/>
      <sz val="24"/>
      <color theme="1"/>
      <name val="Calibri"/>
      <family val="2"/>
    </font>
    <font>
      <sz val="9"/>
      <color indexed="81"/>
      <name val="Calibri"/>
      <family val="2"/>
    </font>
    <font>
      <b/>
      <sz val="14"/>
      <color rgb="FF222222"/>
      <name val="Calibri"/>
      <family val="2"/>
      <scheme val="minor"/>
    </font>
  </fonts>
  <fills count="12">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819"/>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6" tint="0.79998168889431442"/>
        <bgColor indexed="64"/>
      </patternFill>
    </fill>
    <fill>
      <patternFill patternType="solid">
        <fgColor theme="2"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3" fontId="21" fillId="0" borderId="0" applyFont="0" applyFill="0" applyBorder="0" applyAlignment="0" applyProtection="0"/>
    <xf numFmtId="9" fontId="21" fillId="0" borderId="0" applyFont="0" applyFill="0" applyBorder="0" applyAlignment="0" applyProtection="0"/>
  </cellStyleXfs>
  <cellXfs count="350">
    <xf numFmtId="0" fontId="0" fillId="0" borderId="0" xfId="0"/>
    <xf numFmtId="0" fontId="0" fillId="0" borderId="0" xfId="0" applyBorder="1"/>
    <xf numFmtId="0" fontId="0" fillId="0" borderId="0" xfId="0" applyFill="1" applyBorder="1"/>
    <xf numFmtId="0" fontId="0" fillId="0" borderId="0" xfId="0" applyFill="1"/>
    <xf numFmtId="0" fontId="0" fillId="0" borderId="4" xfId="0" applyBorder="1"/>
    <xf numFmtId="0" fontId="6" fillId="0" borderId="3" xfId="0" applyFont="1" applyBorder="1"/>
    <xf numFmtId="0" fontId="6" fillId="0" borderId="7" xfId="0" applyFont="1" applyBorder="1" applyAlignment="1">
      <alignment horizontal="center"/>
    </xf>
    <xf numFmtId="0" fontId="11" fillId="0" borderId="0" xfId="0" applyFont="1" applyFill="1" applyBorder="1"/>
    <xf numFmtId="0" fontId="0" fillId="0" borderId="0" xfId="0" applyAlignment="1">
      <alignment horizontal="center"/>
    </xf>
    <xf numFmtId="0" fontId="0" fillId="0" borderId="0" xfId="0" applyFill="1" applyBorder="1" applyAlignment="1">
      <alignment horizontal="center"/>
    </xf>
    <xf numFmtId="2" fontId="0" fillId="0" borderId="0" xfId="0" applyNumberFormat="1" applyBorder="1" applyAlignment="1">
      <alignment horizontal="center"/>
    </xf>
    <xf numFmtId="0" fontId="0" fillId="0" borderId="26" xfId="0" applyFont="1" applyBorder="1"/>
    <xf numFmtId="0" fontId="0" fillId="0" borderId="27" xfId="0" applyBorder="1" applyAlignment="1">
      <alignment horizontal="center"/>
    </xf>
    <xf numFmtId="0" fontId="3" fillId="0" borderId="0" xfId="0" applyFont="1" applyFill="1" applyBorder="1" applyAlignment="1">
      <alignment horizontal="left"/>
    </xf>
    <xf numFmtId="0" fontId="6" fillId="8" borderId="3" xfId="0" applyFont="1" applyFill="1" applyBorder="1"/>
    <xf numFmtId="0" fontId="6" fillId="8" borderId="6" xfId="0" applyFont="1" applyFill="1" applyBorder="1" applyAlignment="1">
      <alignment horizontal="center"/>
    </xf>
    <xf numFmtId="0" fontId="6" fillId="8" borderId="0" xfId="0" applyFont="1" applyFill="1" applyAlignment="1">
      <alignment horizontal="center"/>
    </xf>
    <xf numFmtId="0" fontId="0" fillId="8" borderId="4" xfId="0" applyFill="1" applyBorder="1"/>
    <xf numFmtId="0" fontId="0" fillId="8" borderId="0" xfId="0" applyFill="1"/>
    <xf numFmtId="0" fontId="6" fillId="8" borderId="24" xfId="0" applyFont="1" applyFill="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8" fillId="0" borderId="30" xfId="0" applyFont="1" applyBorder="1" applyAlignment="1">
      <alignment horizontal="center"/>
    </xf>
    <xf numFmtId="0" fontId="18" fillId="0" borderId="30" xfId="0" applyFont="1" applyFill="1" applyBorder="1" applyAlignment="1">
      <alignment horizontal="center"/>
    </xf>
    <xf numFmtId="0" fontId="17" fillId="0" borderId="2" xfId="0" applyFont="1" applyFill="1" applyBorder="1" applyAlignment="1">
      <alignment horizontal="center"/>
    </xf>
    <xf numFmtId="0" fontId="17" fillId="0" borderId="0" xfId="0" applyFont="1" applyFill="1" applyBorder="1" applyAlignment="1">
      <alignment horizontal="center"/>
    </xf>
    <xf numFmtId="0" fontId="17" fillId="0" borderId="11" xfId="0" applyFont="1" applyBorder="1" applyAlignment="1">
      <alignment horizontal="center"/>
    </xf>
    <xf numFmtId="0" fontId="0" fillId="8" borderId="4" xfId="0" applyFont="1" applyFill="1" applyBorder="1"/>
    <xf numFmtId="0" fontId="18" fillId="0" borderId="22" xfId="0" applyFont="1" applyBorder="1" applyAlignment="1">
      <alignment horizontal="center"/>
    </xf>
    <xf numFmtId="0" fontId="0" fillId="0" borderId="17" xfId="0" applyBorder="1"/>
    <xf numFmtId="0" fontId="0" fillId="8" borderId="7" xfId="0" applyFill="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horizontal="left" vertical="center" wrapText="1" readingOrder="1"/>
    </xf>
    <xf numFmtId="0" fontId="0" fillId="0" borderId="0" xfId="0" applyFont="1" applyBorder="1" applyAlignment="1">
      <alignment horizontal="left"/>
    </xf>
    <xf numFmtId="0" fontId="5" fillId="3" borderId="5" xfId="0" applyFont="1" applyFill="1" applyBorder="1" applyAlignment="1">
      <alignment horizontal="left" vertical="center"/>
    </xf>
    <xf numFmtId="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8" fillId="3" borderId="0" xfId="0" applyFont="1" applyFill="1" applyBorder="1" applyAlignment="1">
      <alignment horizontal="center" vertical="center"/>
    </xf>
    <xf numFmtId="0" fontId="0" fillId="3" borderId="0" xfId="0" applyFill="1" applyBorder="1" applyAlignment="1">
      <alignment vertical="center"/>
    </xf>
    <xf numFmtId="0" fontId="0" fillId="3" borderId="17" xfId="0" applyFill="1" applyBorder="1" applyAlignment="1">
      <alignment vertical="center"/>
    </xf>
    <xf numFmtId="9" fontId="0" fillId="3" borderId="0" xfId="0" applyNumberFormat="1" applyFill="1" applyBorder="1" applyAlignment="1">
      <alignment horizontal="center" vertical="center"/>
    </xf>
    <xf numFmtId="0" fontId="1" fillId="3" borderId="0" xfId="0" applyFont="1" applyFill="1" applyBorder="1" applyAlignment="1">
      <alignment horizontal="center" vertical="center"/>
    </xf>
    <xf numFmtId="2" fontId="1" fillId="3" borderId="0" xfId="0" applyNumberFormat="1" applyFont="1" applyFill="1" applyBorder="1" applyAlignment="1">
      <alignment horizontal="center" vertical="center"/>
    </xf>
    <xf numFmtId="0" fontId="1" fillId="3" borderId="0" xfId="0" applyFont="1" applyFill="1" applyBorder="1" applyAlignment="1">
      <alignment vertical="center"/>
    </xf>
    <xf numFmtId="0" fontId="0" fillId="0" borderId="0" xfId="0" applyFill="1" applyAlignment="1">
      <alignment vertical="center"/>
    </xf>
    <xf numFmtId="0" fontId="0" fillId="3" borderId="4" xfId="0" applyFill="1" applyBorder="1" applyAlignment="1">
      <alignment vertical="center"/>
    </xf>
    <xf numFmtId="0" fontId="0" fillId="3" borderId="0" xfId="0" applyFont="1" applyFill="1" applyBorder="1" applyAlignment="1">
      <alignment horizontal="center" vertical="center"/>
    </xf>
    <xf numFmtId="164" fontId="1" fillId="3" borderId="0"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0" fillId="3" borderId="5" xfId="0" applyFill="1" applyBorder="1" applyAlignment="1">
      <alignment vertical="center"/>
    </xf>
    <xf numFmtId="0" fontId="0" fillId="3" borderId="2" xfId="0" applyFont="1" applyFill="1" applyBorder="1" applyAlignment="1">
      <alignment horizontal="center" vertical="center"/>
    </xf>
    <xf numFmtId="0" fontId="0" fillId="0" borderId="11" xfId="0" applyBorder="1" applyAlignment="1">
      <alignment horizontal="center" vertical="center"/>
    </xf>
    <xf numFmtId="0" fontId="3"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0" fillId="3" borderId="0" xfId="0" applyFont="1" applyFill="1" applyBorder="1" applyAlignment="1">
      <alignment horizontal="left" vertical="center"/>
    </xf>
    <xf numFmtId="2" fontId="1" fillId="3" borderId="0" xfId="0" applyNumberFormat="1" applyFont="1" applyFill="1" applyBorder="1" applyAlignment="1">
      <alignment vertical="center"/>
    </xf>
    <xf numFmtId="0" fontId="0" fillId="3" borderId="0" xfId="0" applyFill="1" applyBorder="1" applyAlignment="1">
      <alignment horizontal="left" vertical="center"/>
    </xf>
    <xf numFmtId="0" fontId="0" fillId="3" borderId="13" xfId="0" applyFill="1" applyBorder="1" applyAlignment="1">
      <alignment vertical="center"/>
    </xf>
    <xf numFmtId="0" fontId="0" fillId="3" borderId="14" xfId="0" applyFill="1" applyBorder="1" applyAlignment="1">
      <alignment vertical="center"/>
    </xf>
    <xf numFmtId="0" fontId="0" fillId="7" borderId="1" xfId="0" applyFill="1" applyBorder="1" applyAlignment="1" applyProtection="1">
      <alignment horizontal="center" vertical="center"/>
      <protection locked="0"/>
    </xf>
    <xf numFmtId="9" fontId="0" fillId="7"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2" fontId="0" fillId="7" borderId="1" xfId="0" applyNumberFormat="1" applyFill="1" applyBorder="1" applyAlignment="1" applyProtection="1">
      <alignment horizontal="center" vertical="center"/>
      <protection locked="0"/>
    </xf>
    <xf numFmtId="0" fontId="0" fillId="0" borderId="22" xfId="0" applyBorder="1"/>
    <xf numFmtId="0" fontId="13" fillId="0" borderId="0" xfId="0" applyFont="1" applyAlignment="1">
      <alignment horizontal="left"/>
    </xf>
    <xf numFmtId="0" fontId="0" fillId="0" borderId="22" xfId="0" applyFill="1" applyBorder="1" applyAlignment="1">
      <alignment horizontal="center" vertical="center"/>
    </xf>
    <xf numFmtId="2" fontId="8"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25" xfId="0" applyFont="1" applyBorder="1" applyAlignment="1">
      <alignment horizontal="left"/>
    </xf>
    <xf numFmtId="0" fontId="0" fillId="0" borderId="16" xfId="0" applyFont="1" applyBorder="1" applyAlignment="1">
      <alignment horizontal="left"/>
    </xf>
    <xf numFmtId="0" fontId="0" fillId="0" borderId="16" xfId="0" applyFont="1" applyFill="1" applyBorder="1" applyAlignment="1">
      <alignment horizontal="left"/>
    </xf>
    <xf numFmtId="0" fontId="0" fillId="0" borderId="34" xfId="0" applyFont="1" applyBorder="1" applyAlignment="1">
      <alignment horizontal="left"/>
    </xf>
    <xf numFmtId="0" fontId="6" fillId="0" borderId="6" xfId="0" applyFont="1" applyBorder="1" applyAlignment="1">
      <alignment vertical="center"/>
    </xf>
    <xf numFmtId="0" fontId="17" fillId="0" borderId="22" xfId="0" applyFont="1" applyFill="1" applyBorder="1" applyAlignment="1">
      <alignment horizontal="center" vertical="center"/>
    </xf>
    <xf numFmtId="0" fontId="6" fillId="0" borderId="22" xfId="0" applyFont="1" applyFill="1" applyBorder="1" applyAlignment="1">
      <alignment vertical="center"/>
    </xf>
    <xf numFmtId="0" fontId="0" fillId="0" borderId="23" xfId="0" applyFill="1" applyBorder="1" applyAlignment="1">
      <alignment horizontal="center" vertical="center"/>
    </xf>
    <xf numFmtId="0" fontId="0" fillId="0" borderId="0" xfId="0" applyFill="1" applyAlignment="1">
      <alignment horizontal="center" vertical="center"/>
    </xf>
    <xf numFmtId="164" fontId="1" fillId="1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14" fillId="10" borderId="0" xfId="0" applyFont="1" applyFill="1" applyBorder="1" applyAlignment="1" applyProtection="1">
      <alignment horizontal="center" vertical="center"/>
    </xf>
    <xf numFmtId="0" fontId="19" fillId="3" borderId="0" xfId="0" applyFont="1" applyFill="1" applyBorder="1" applyAlignment="1">
      <alignment horizontal="center" vertical="center"/>
    </xf>
    <xf numFmtId="0" fontId="6" fillId="10" borderId="0" xfId="0" applyFont="1" applyFill="1" applyBorder="1" applyAlignment="1">
      <alignment horizontal="center" vertical="center"/>
    </xf>
    <xf numFmtId="164" fontId="1" fillId="10" borderId="0" xfId="0" applyNumberFormat="1" applyFont="1" applyFill="1" applyBorder="1" applyAlignment="1" applyProtection="1">
      <alignment horizontal="center" vertical="center"/>
    </xf>
    <xf numFmtId="2" fontId="2" fillId="3" borderId="0" xfId="0" applyNumberFormat="1" applyFont="1" applyFill="1" applyBorder="1" applyAlignment="1">
      <alignment horizontal="center" vertical="center"/>
    </xf>
    <xf numFmtId="0" fontId="16" fillId="10" borderId="0" xfId="0" applyFont="1" applyFill="1" applyBorder="1" applyAlignment="1">
      <alignment horizontal="center" vertical="center"/>
    </xf>
    <xf numFmtId="0" fontId="14" fillId="3" borderId="0" xfId="0" applyFont="1" applyFill="1" applyBorder="1" applyAlignment="1" applyProtection="1">
      <alignment horizontal="center" vertical="center"/>
    </xf>
    <xf numFmtId="164" fontId="0" fillId="3" borderId="0" xfId="0" applyNumberFormat="1" applyFill="1" applyBorder="1" applyAlignment="1">
      <alignment horizontal="center" vertical="center"/>
    </xf>
    <xf numFmtId="0" fontId="3" fillId="3" borderId="4" xfId="0" applyFont="1" applyFill="1" applyBorder="1" applyAlignment="1">
      <alignment horizontal="left" vertical="center"/>
    </xf>
    <xf numFmtId="0" fontId="5" fillId="3" borderId="0" xfId="0" applyFont="1" applyFill="1" applyBorder="1" applyAlignment="1">
      <alignment vertical="center"/>
    </xf>
    <xf numFmtId="0" fontId="3" fillId="0" borderId="0" xfId="0" applyFont="1" applyFill="1" applyBorder="1" applyAlignment="1">
      <alignment horizontal="left" vertical="center"/>
    </xf>
    <xf numFmtId="2" fontId="1" fillId="0" borderId="0" xfId="0" applyNumberFormat="1" applyFont="1" applyFill="1" applyAlignment="1">
      <alignment horizontal="center"/>
    </xf>
    <xf numFmtId="0" fontId="0" fillId="0" borderId="0" xfId="0" applyFont="1" applyFill="1" applyBorder="1" applyAlignment="1">
      <alignment horizontal="left" vertical="center"/>
    </xf>
    <xf numFmtId="164" fontId="1" fillId="0" borderId="0" xfId="0"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16" xfId="0" applyFill="1" applyBorder="1" applyAlignment="1">
      <alignment horizontal="center" vertical="center"/>
    </xf>
    <xf numFmtId="2" fontId="8" fillId="0" borderId="16" xfId="0" applyNumberFormat="1" applyFont="1" applyFill="1" applyBorder="1" applyAlignment="1">
      <alignment horizontal="center" vertical="center"/>
    </xf>
    <xf numFmtId="0" fontId="0" fillId="0" borderId="16" xfId="0" applyBorder="1" applyAlignment="1">
      <alignment horizontal="center"/>
    </xf>
    <xf numFmtId="0" fontId="0" fillId="0" borderId="7" xfId="0" applyFill="1" applyBorder="1" applyAlignment="1">
      <alignment horizontal="center" vertical="center"/>
    </xf>
    <xf numFmtId="2" fontId="0" fillId="0" borderId="0" xfId="0" applyNumberFormat="1" applyFill="1" applyBorder="1" applyAlignment="1">
      <alignment horizontal="center" vertical="center"/>
    </xf>
    <xf numFmtId="2" fontId="0" fillId="0" borderId="0" xfId="1" applyNumberFormat="1" applyFont="1" applyFill="1" applyBorder="1" applyAlignment="1">
      <alignment horizontal="center" vertical="center"/>
    </xf>
    <xf numFmtId="2" fontId="0" fillId="0" borderId="16" xfId="0" applyNumberFormat="1" applyFill="1" applyBorder="1" applyAlignment="1">
      <alignment horizontal="center" vertical="center"/>
    </xf>
    <xf numFmtId="0" fontId="18" fillId="0" borderId="22" xfId="0" applyFont="1" applyFill="1" applyBorder="1" applyAlignment="1">
      <alignment horizontal="center" vertical="center"/>
    </xf>
    <xf numFmtId="0" fontId="19"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xf numFmtId="0" fontId="1" fillId="0" borderId="0" xfId="0" applyFont="1" applyFill="1" applyAlignment="1">
      <alignment horizontal="center"/>
    </xf>
    <xf numFmtId="0" fontId="6" fillId="0" borderId="3" xfId="0" applyFont="1" applyFill="1" applyBorder="1" applyAlignment="1">
      <alignment horizontal="left"/>
    </xf>
    <xf numFmtId="0" fontId="8" fillId="0" borderId="16" xfId="0" applyFont="1" applyFill="1" applyBorder="1" applyAlignment="1">
      <alignment horizontal="left" vertical="center"/>
    </xf>
    <xf numFmtId="0" fontId="0" fillId="3" borderId="2" xfId="0" applyFill="1" applyBorder="1" applyAlignment="1">
      <alignment horizontal="center" vertical="center"/>
    </xf>
    <xf numFmtId="0" fontId="6" fillId="8" borderId="6" xfId="0" applyFont="1" applyFill="1" applyBorder="1" applyAlignment="1">
      <alignment horizontal="center" vertical="center"/>
    </xf>
    <xf numFmtId="2" fontId="6" fillId="8" borderId="5" xfId="0" applyNumberFormat="1" applyFont="1" applyFill="1" applyBorder="1" applyAlignment="1">
      <alignment horizontal="center"/>
    </xf>
    <xf numFmtId="2" fontId="6" fillId="8" borderId="16" xfId="0" applyNumberFormat="1" applyFont="1" applyFill="1" applyBorder="1" applyAlignment="1">
      <alignment horizontal="center"/>
    </xf>
    <xf numFmtId="0" fontId="6" fillId="8" borderId="0" xfId="0" applyFont="1" applyFill="1" applyAlignment="1">
      <alignment horizontal="center" vertical="center"/>
    </xf>
    <xf numFmtId="0" fontId="6" fillId="8" borderId="35" xfId="0" applyFont="1" applyFill="1" applyBorder="1" applyAlignment="1">
      <alignment horizontal="center"/>
    </xf>
    <xf numFmtId="2" fontId="6" fillId="8" borderId="24" xfId="0" applyNumberFormat="1" applyFont="1" applyFill="1" applyBorder="1" applyAlignment="1">
      <alignment horizontal="center"/>
    </xf>
    <xf numFmtId="0" fontId="19" fillId="0" borderId="0" xfId="0" applyFont="1" applyFill="1" applyAlignment="1">
      <alignment vertical="center"/>
    </xf>
    <xf numFmtId="0" fontId="18" fillId="0" borderId="38" xfId="0" applyFont="1" applyBorder="1" applyAlignment="1">
      <alignment horizontal="center" vertical="center"/>
    </xf>
    <xf numFmtId="2" fontId="1" fillId="10" borderId="0" xfId="0" applyNumberFormat="1" applyFont="1" applyFill="1" applyBorder="1" applyAlignment="1">
      <alignment horizontal="center" vertical="center"/>
    </xf>
    <xf numFmtId="1" fontId="1" fillId="3" borderId="0" xfId="0" applyNumberFormat="1" applyFont="1" applyFill="1" applyBorder="1" applyAlignment="1">
      <alignment horizontal="center" vertical="center"/>
    </xf>
    <xf numFmtId="164" fontId="0" fillId="8" borderId="5" xfId="0" applyNumberFormat="1" applyFont="1" applyFill="1" applyBorder="1" applyAlignment="1">
      <alignment horizontal="center"/>
    </xf>
    <xf numFmtId="164" fontId="0" fillId="8" borderId="25" xfId="0" applyNumberFormat="1" applyFont="1" applyFill="1" applyBorder="1" applyAlignment="1">
      <alignment horizontal="center"/>
    </xf>
    <xf numFmtId="164" fontId="0" fillId="8" borderId="16" xfId="0" applyNumberFormat="1" applyFill="1" applyBorder="1" applyAlignment="1">
      <alignment horizontal="center"/>
    </xf>
    <xf numFmtId="164" fontId="0" fillId="8" borderId="16" xfId="0" applyNumberFormat="1" applyFont="1" applyFill="1" applyBorder="1" applyAlignment="1">
      <alignment horizontal="center"/>
    </xf>
    <xf numFmtId="164" fontId="0" fillId="8" borderId="5" xfId="0" applyNumberFormat="1" applyFill="1" applyBorder="1" applyAlignment="1">
      <alignment horizontal="center"/>
    </xf>
    <xf numFmtId="164" fontId="0" fillId="8" borderId="25" xfId="0" applyNumberFormat="1" applyFill="1" applyBorder="1" applyAlignment="1">
      <alignment horizontal="center"/>
    </xf>
    <xf numFmtId="164" fontId="0" fillId="8" borderId="27" xfId="0" applyNumberFormat="1" applyFill="1" applyBorder="1" applyAlignment="1">
      <alignment horizontal="center"/>
    </xf>
    <xf numFmtId="164" fontId="8" fillId="8" borderId="16" xfId="0" applyNumberFormat="1" applyFont="1" applyFill="1" applyBorder="1" applyAlignment="1">
      <alignment horizontal="center"/>
    </xf>
    <xf numFmtId="164" fontId="8" fillId="8" borderId="0" xfId="0" applyNumberFormat="1" applyFont="1" applyFill="1" applyAlignment="1">
      <alignment horizontal="center"/>
    </xf>
    <xf numFmtId="164" fontId="8" fillId="8" borderId="5" xfId="0" applyNumberFormat="1" applyFont="1" applyFill="1" applyBorder="1" applyAlignment="1">
      <alignment horizontal="center"/>
    </xf>
    <xf numFmtId="164" fontId="0" fillId="8" borderId="32" xfId="0" applyNumberFormat="1" applyFont="1" applyFill="1" applyBorder="1" applyAlignment="1">
      <alignment horizontal="center"/>
    </xf>
    <xf numFmtId="164" fontId="0" fillId="8" borderId="16" xfId="0" applyNumberFormat="1" applyFill="1" applyBorder="1" applyAlignment="1">
      <alignment horizontal="center" vertical="center"/>
    </xf>
    <xf numFmtId="164" fontId="0" fillId="8" borderId="0" xfId="0" applyNumberFormat="1" applyFill="1" applyBorder="1" applyAlignment="1">
      <alignment horizontal="center"/>
    </xf>
    <xf numFmtId="0" fontId="0" fillId="10" borderId="0" xfId="0" applyFont="1" applyFill="1" applyBorder="1" applyAlignment="1">
      <alignment horizontal="center" vertical="center"/>
    </xf>
    <xf numFmtId="0" fontId="0" fillId="10" borderId="0" xfId="0" applyFill="1" applyBorder="1" applyAlignment="1">
      <alignment horizontal="center" vertical="center"/>
    </xf>
    <xf numFmtId="0" fontId="9" fillId="10" borderId="0" xfId="0" applyFont="1" applyFill="1" applyBorder="1" applyAlignment="1">
      <alignment horizontal="center" vertical="center"/>
    </xf>
    <xf numFmtId="164" fontId="0" fillId="0" borderId="0" xfId="0" applyNumberFormat="1"/>
    <xf numFmtId="0" fontId="5" fillId="3" borderId="4" xfId="0" applyFont="1" applyFill="1" applyBorder="1" applyAlignment="1">
      <alignment horizontal="left" vertical="center"/>
    </xf>
    <xf numFmtId="0" fontId="2" fillId="3" borderId="4" xfId="0" applyFont="1" applyFill="1" applyBorder="1" applyAlignment="1">
      <alignment horizontal="center" vertical="center"/>
    </xf>
    <xf numFmtId="2" fontId="6" fillId="3" borderId="0" xfId="0" applyNumberFormat="1" applyFont="1" applyFill="1" applyBorder="1" applyAlignment="1">
      <alignment horizontal="center" vertical="center"/>
    </xf>
    <xf numFmtId="2" fontId="6" fillId="10" borderId="0" xfId="0" applyNumberFormat="1" applyFont="1" applyFill="1" applyBorder="1" applyAlignment="1">
      <alignment horizontal="center" vertical="center"/>
    </xf>
    <xf numFmtId="2" fontId="0" fillId="3" borderId="14" xfId="0" applyNumberFormat="1" applyFill="1" applyBorder="1" applyAlignment="1">
      <alignment horizontal="center" vertical="center"/>
    </xf>
    <xf numFmtId="0" fontId="0" fillId="0" borderId="14" xfId="0" applyBorder="1" applyAlignment="1">
      <alignment vertical="center"/>
    </xf>
    <xf numFmtId="164" fontId="1" fillId="3" borderId="14" xfId="0" applyNumberFormat="1" applyFont="1" applyFill="1" applyBorder="1" applyAlignment="1">
      <alignment horizontal="right" vertical="center"/>
    </xf>
    <xf numFmtId="0" fontId="2" fillId="0" borderId="4" xfId="0" applyFont="1" applyFill="1" applyBorder="1" applyAlignment="1">
      <alignment horizontal="center" vertical="center"/>
    </xf>
    <xf numFmtId="0" fontId="3" fillId="3" borderId="5" xfId="0" applyFont="1" applyFill="1" applyBorder="1" applyAlignment="1">
      <alignment horizontal="left" vertical="center"/>
    </xf>
    <xf numFmtId="0" fontId="2" fillId="3" borderId="4" xfId="0" applyNumberFormat="1" applyFont="1" applyFill="1" applyBorder="1" applyAlignment="1">
      <alignment horizontal="center" vertical="center"/>
    </xf>
    <xf numFmtId="2" fontId="1" fillId="3" borderId="4" xfId="0"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0" fontId="17" fillId="0" borderId="17" xfId="0" applyFont="1" applyBorder="1" applyAlignment="1">
      <alignment horizontal="center"/>
    </xf>
    <xf numFmtId="1" fontId="1" fillId="3"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xf>
    <xf numFmtId="2" fontId="0" fillId="0" borderId="0" xfId="0" applyNumberFormat="1" applyAlignment="1">
      <alignment horizontal="center"/>
    </xf>
    <xf numFmtId="164" fontId="0" fillId="8" borderId="27" xfId="0" applyNumberFormat="1" applyFill="1" applyBorder="1" applyAlignment="1">
      <alignment horizontal="center" vertical="center"/>
    </xf>
    <xf numFmtId="164" fontId="8" fillId="8" borderId="16" xfId="0" applyNumberFormat="1" applyFont="1" applyFill="1" applyBorder="1" applyAlignment="1">
      <alignment horizontal="center" vertical="center"/>
    </xf>
    <xf numFmtId="0" fontId="17" fillId="0" borderId="14" xfId="0" applyFont="1" applyBorder="1" applyAlignment="1">
      <alignment horizontal="center"/>
    </xf>
    <xf numFmtId="164" fontId="0" fillId="8" borderId="0" xfId="0" applyNumberFormat="1" applyFill="1" applyAlignment="1">
      <alignment horizontal="center" vertical="center"/>
    </xf>
    <xf numFmtId="164" fontId="0" fillId="8" borderId="33" xfId="0" applyNumberFormat="1" applyFill="1" applyBorder="1" applyAlignment="1">
      <alignment horizontal="center" vertical="center"/>
    </xf>
    <xf numFmtId="0" fontId="6" fillId="0" borderId="3" xfId="0" applyFont="1" applyFill="1" applyBorder="1" applyAlignment="1">
      <alignment horizontal="left" vertical="center"/>
    </xf>
    <xf numFmtId="0" fontId="6" fillId="0" borderId="0" xfId="0" applyFont="1" applyAlignment="1">
      <alignment horizontal="center" vertical="center"/>
    </xf>
    <xf numFmtId="164" fontId="0" fillId="8" borderId="25" xfId="0" applyNumberFormat="1" applyFill="1" applyBorder="1" applyAlignment="1">
      <alignment horizontal="center" vertical="center"/>
    </xf>
    <xf numFmtId="164" fontId="0" fillId="8" borderId="5" xfId="0" applyNumberForma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164" fontId="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3" borderId="20" xfId="0" applyFont="1" applyFill="1" applyBorder="1" applyAlignment="1">
      <alignment vertical="center"/>
    </xf>
    <xf numFmtId="0" fontId="23" fillId="3" borderId="19" xfId="0" applyFont="1" applyFill="1" applyBorder="1" applyAlignment="1">
      <alignment vertical="center"/>
    </xf>
    <xf numFmtId="0" fontId="14" fillId="10" borderId="0" xfId="0" applyFont="1" applyFill="1" applyBorder="1" applyAlignment="1">
      <alignment horizontal="center" vertical="center"/>
    </xf>
    <xf numFmtId="8" fontId="1" fillId="10" borderId="0" xfId="0" applyNumberFormat="1" applyFont="1" applyFill="1" applyBorder="1" applyAlignment="1">
      <alignment horizontal="center" vertical="center"/>
    </xf>
    <xf numFmtId="0" fontId="8" fillId="0" borderId="16" xfId="0" applyFont="1" applyBorder="1" applyAlignment="1">
      <alignment horizontal="center" vertical="center"/>
    </xf>
    <xf numFmtId="0" fontId="0" fillId="0" borderId="2" xfId="0" applyBorder="1"/>
    <xf numFmtId="0" fontId="6" fillId="8" borderId="40" xfId="0" applyFont="1" applyFill="1" applyBorder="1" applyAlignment="1">
      <alignment horizontal="center"/>
    </xf>
    <xf numFmtId="164" fontId="0" fillId="7" borderId="42" xfId="0" applyNumberFormat="1" applyFont="1" applyFill="1" applyBorder="1" applyAlignment="1" applyProtection="1">
      <alignment horizontal="center"/>
      <protection locked="0"/>
    </xf>
    <xf numFmtId="164" fontId="0" fillId="7" borderId="41"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xf>
    <xf numFmtId="0" fontId="3" fillId="0" borderId="0" xfId="0" applyFont="1" applyFill="1" applyBorder="1" applyAlignment="1">
      <alignment vertical="center"/>
    </xf>
    <xf numFmtId="0" fontId="0" fillId="3" borderId="0" xfId="0" applyFill="1" applyBorder="1"/>
    <xf numFmtId="0" fontId="0" fillId="0" borderId="0" xfId="0" applyBorder="1" applyAlignment="1">
      <alignment horizontal="center" vertical="center"/>
    </xf>
    <xf numFmtId="0" fontId="0" fillId="11" borderId="0" xfId="0" applyFill="1" applyBorder="1" applyAlignment="1">
      <alignment vertical="center"/>
    </xf>
    <xf numFmtId="164" fontId="0" fillId="10" borderId="0" xfId="0" applyNumberFormat="1" applyFill="1" applyBorder="1" applyAlignment="1">
      <alignment horizontal="center" vertical="center"/>
    </xf>
    <xf numFmtId="0" fontId="0" fillId="10" borderId="0" xfId="0" applyFill="1" applyBorder="1" applyAlignment="1">
      <alignment vertical="center"/>
    </xf>
    <xf numFmtId="0" fontId="16" fillId="3" borderId="0" xfId="0" applyFont="1" applyFill="1" applyBorder="1" applyAlignment="1">
      <alignment horizontal="center" vertical="center"/>
    </xf>
    <xf numFmtId="0" fontId="0" fillId="3" borderId="0" xfId="0" applyFont="1" applyFill="1" applyBorder="1"/>
    <xf numFmtId="0" fontId="6" fillId="10" borderId="0" xfId="0" applyFont="1" applyFill="1" applyBorder="1" applyAlignment="1">
      <alignment horizontal="center"/>
    </xf>
    <xf numFmtId="164" fontId="1" fillId="10" borderId="0" xfId="0" applyNumberFormat="1" applyFont="1" applyFill="1" applyBorder="1" applyAlignment="1">
      <alignment horizontal="center"/>
    </xf>
    <xf numFmtId="0" fontId="6" fillId="3" borderId="0" xfId="0" applyFont="1" applyFill="1" applyBorder="1" applyAlignment="1">
      <alignment horizontal="center"/>
    </xf>
    <xf numFmtId="0" fontId="0" fillId="3" borderId="0" xfId="0" applyFill="1" applyBorder="1" applyAlignment="1">
      <alignment horizontal="center"/>
    </xf>
    <xf numFmtId="2" fontId="1" fillId="3" borderId="0" xfId="0" applyNumberFormat="1" applyFont="1" applyFill="1" applyBorder="1" applyAlignment="1">
      <alignment horizontal="center"/>
    </xf>
    <xf numFmtId="8" fontId="1" fillId="10" borderId="0" xfId="0" applyNumberFormat="1" applyFont="1" applyFill="1" applyBorder="1" applyAlignment="1">
      <alignment horizontal="center"/>
    </xf>
    <xf numFmtId="164" fontId="0" fillId="7" borderId="41" xfId="0" applyNumberFormat="1" applyFont="1" applyFill="1" applyBorder="1" applyAlignment="1" applyProtection="1">
      <alignment horizontal="center" vertical="center" wrapText="1"/>
      <protection locked="0"/>
    </xf>
    <xf numFmtId="0" fontId="0" fillId="8" borderId="6" xfId="0" applyFill="1" applyBorder="1" applyAlignment="1">
      <alignment vertical="center"/>
    </xf>
    <xf numFmtId="0" fontId="6" fillId="8" borderId="7" xfId="0" applyFont="1" applyFill="1" applyBorder="1" applyAlignment="1">
      <alignment horizontal="center" vertical="center"/>
    </xf>
    <xf numFmtId="0" fontId="6" fillId="8" borderId="7" xfId="0" applyFont="1" applyFill="1" applyBorder="1" applyAlignment="1">
      <alignment vertical="center"/>
    </xf>
    <xf numFmtId="0" fontId="14" fillId="0" borderId="6" xfId="0" applyFont="1" applyBorder="1" applyAlignment="1">
      <alignment horizontal="center"/>
    </xf>
    <xf numFmtId="0" fontId="3" fillId="0" borderId="5" xfId="0" applyFont="1" applyFill="1" applyBorder="1" applyAlignment="1">
      <alignment vertical="center"/>
    </xf>
    <xf numFmtId="0" fontId="8" fillId="0" borderId="4" xfId="0" applyFont="1" applyBorder="1" applyAlignment="1">
      <alignment vertical="center" wrapText="1"/>
    </xf>
    <xf numFmtId="0" fontId="0" fillId="8" borderId="0" xfId="0" applyFill="1" applyBorder="1"/>
    <xf numFmtId="0" fontId="0" fillId="0" borderId="0" xfId="0" applyAlignment="1">
      <alignment vertical="center"/>
    </xf>
    <xf numFmtId="0" fontId="6" fillId="0" borderId="24" xfId="0" applyFont="1" applyBorder="1" applyAlignment="1">
      <alignment horizontal="center" vertical="center"/>
    </xf>
    <xf numFmtId="0" fontId="6" fillId="0" borderId="7" xfId="0" applyFont="1" applyBorder="1" applyAlignment="1">
      <alignment horizontal="center" vertical="center"/>
    </xf>
    <xf numFmtId="0" fontId="0" fillId="0" borderId="4" xfId="0" applyBorder="1" applyAlignment="1">
      <alignment vertical="center"/>
    </xf>
    <xf numFmtId="165" fontId="0" fillId="0" borderId="16" xfId="0" applyNumberFormat="1" applyBorder="1" applyAlignment="1">
      <alignment horizontal="center" vertical="center"/>
    </xf>
    <xf numFmtId="165" fontId="0" fillId="0" borderId="0" xfId="0" applyNumberFormat="1" applyAlignment="1">
      <alignment horizontal="center" vertical="center"/>
    </xf>
    <xf numFmtId="164" fontId="0" fillId="7" borderId="1" xfId="0" applyNumberFormat="1" applyFill="1" applyBorder="1" applyAlignment="1" applyProtection="1">
      <alignment horizontal="center" vertical="center"/>
      <protection locked="0"/>
    </xf>
    <xf numFmtId="164" fontId="0" fillId="7" borderId="42" xfId="0" applyNumberFormat="1" applyFont="1" applyFill="1" applyBorder="1" applyAlignment="1" applyProtection="1">
      <alignment horizontal="center" vertical="center" wrapText="1"/>
      <protection locked="0"/>
    </xf>
    <xf numFmtId="9" fontId="14" fillId="8" borderId="43" xfId="0" applyNumberFormat="1" applyFont="1" applyFill="1" applyBorder="1" applyAlignment="1">
      <alignment horizontal="center" vertical="center"/>
    </xf>
    <xf numFmtId="9" fontId="14" fillId="8" borderId="44" xfId="0" applyNumberFormat="1" applyFont="1" applyFill="1" applyBorder="1" applyAlignment="1">
      <alignment horizontal="center" vertical="center"/>
    </xf>
    <xf numFmtId="9" fontId="14" fillId="8" borderId="45" xfId="0" applyNumberFormat="1" applyFont="1" applyFill="1" applyBorder="1" applyAlignment="1">
      <alignment horizontal="center" vertical="center"/>
    </xf>
    <xf numFmtId="9" fontId="14" fillId="8" borderId="46" xfId="0" applyNumberFormat="1" applyFont="1" applyFill="1" applyBorder="1" applyAlignment="1">
      <alignment horizontal="center" vertical="center"/>
    </xf>
    <xf numFmtId="164" fontId="0" fillId="7" borderId="36" xfId="0" applyNumberFormat="1" applyFont="1" applyFill="1" applyBorder="1" applyAlignment="1" applyProtection="1">
      <alignment horizontal="center" vertical="center"/>
      <protection locked="0"/>
    </xf>
    <xf numFmtId="164" fontId="0" fillId="7" borderId="47" xfId="0" applyNumberFormat="1" applyFont="1" applyFill="1" applyBorder="1" applyAlignment="1" applyProtection="1">
      <alignment horizontal="center" vertical="center"/>
      <protection locked="0"/>
    </xf>
    <xf numFmtId="164" fontId="0" fillId="7" borderId="48" xfId="0" applyNumberFormat="1" applyFont="1" applyFill="1" applyBorder="1" applyAlignment="1" applyProtection="1">
      <alignment horizontal="center" vertical="center"/>
      <protection locked="0"/>
    </xf>
    <xf numFmtId="164" fontId="0" fillId="7" borderId="49" xfId="0" applyNumberFormat="1" applyFont="1" applyFill="1" applyBorder="1" applyAlignment="1" applyProtection="1">
      <alignment horizontal="center" vertical="center"/>
      <protection locked="0"/>
    </xf>
    <xf numFmtId="164" fontId="0" fillId="7" borderId="31" xfId="0" applyNumberFormat="1" applyFont="1" applyFill="1" applyBorder="1" applyAlignment="1" applyProtection="1">
      <alignment horizontal="center" vertical="center"/>
      <protection locked="0"/>
    </xf>
    <xf numFmtId="0" fontId="0" fillId="0" borderId="2" xfId="0" applyFill="1" applyBorder="1"/>
    <xf numFmtId="9" fontId="6" fillId="0" borderId="24" xfId="0" applyNumberFormat="1" applyFont="1" applyBorder="1" applyAlignment="1">
      <alignment horizontal="center" vertical="center"/>
    </xf>
    <xf numFmtId="9" fontId="6" fillId="0" borderId="24" xfId="0" applyNumberFormat="1" applyFont="1" applyFill="1" applyBorder="1" applyAlignment="1">
      <alignment horizontal="center" vertical="center"/>
    </xf>
    <xf numFmtId="9" fontId="6" fillId="0" borderId="3" xfId="0" applyNumberFormat="1" applyFont="1" applyBorder="1" applyAlignment="1">
      <alignment horizontal="center" vertical="center"/>
    </xf>
    <xf numFmtId="9" fontId="6" fillId="0" borderId="3" xfId="0" applyNumberFormat="1" applyFont="1" applyFill="1" applyBorder="1" applyAlignment="1">
      <alignment horizontal="center" vertical="center"/>
    </xf>
    <xf numFmtId="9" fontId="14" fillId="0" borderId="24" xfId="0" applyNumberFormat="1" applyFont="1" applyBorder="1" applyAlignment="1">
      <alignment horizontal="center" vertical="center"/>
    </xf>
    <xf numFmtId="9" fontId="14" fillId="0" borderId="24" xfId="0" applyNumberFormat="1" applyFont="1" applyFill="1" applyBorder="1" applyAlignment="1">
      <alignment horizontal="center" vertical="center"/>
    </xf>
    <xf numFmtId="0" fontId="18" fillId="0" borderId="37" xfId="0" applyFont="1" applyFill="1"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1" fontId="0" fillId="0" borderId="4" xfId="0" applyNumberFormat="1" applyFont="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17" fillId="0" borderId="38" xfId="0" applyFont="1" applyBorder="1" applyAlignment="1">
      <alignment horizontal="center" vertical="center"/>
    </xf>
    <xf numFmtId="0" fontId="0" fillId="0" borderId="4" xfId="0" applyFill="1" applyBorder="1" applyAlignment="1">
      <alignment horizontal="center" vertical="center"/>
    </xf>
    <xf numFmtId="0" fontId="8" fillId="0" borderId="16" xfId="0" applyNumberFormat="1" applyFont="1" applyFill="1" applyBorder="1" applyAlignment="1" applyProtection="1">
      <alignment horizontal="center" vertical="center"/>
      <protection hidden="1"/>
    </xf>
    <xf numFmtId="0" fontId="8" fillId="0" borderId="16"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 fontId="0" fillId="0" borderId="16" xfId="0" applyNumberFormat="1" applyBorder="1" applyAlignment="1">
      <alignment horizontal="center" vertical="center"/>
    </xf>
    <xf numFmtId="1" fontId="0" fillId="0" borderId="0" xfId="0" applyNumberFormat="1" applyAlignment="1">
      <alignment horizontal="center" vertical="center"/>
    </xf>
    <xf numFmtId="1" fontId="0" fillId="0" borderId="4"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4" xfId="0" applyNumberFormat="1" applyBorder="1" applyAlignment="1">
      <alignment horizontal="center" vertical="center"/>
    </xf>
    <xf numFmtId="0" fontId="6" fillId="8" borderId="7" xfId="0" applyFont="1" applyFill="1" applyBorder="1" applyAlignment="1">
      <alignment horizontal="center"/>
    </xf>
    <xf numFmtId="0" fontId="26" fillId="0" borderId="0" xfId="0" applyFont="1" applyBorder="1" applyAlignment="1">
      <alignment horizontal="center"/>
    </xf>
    <xf numFmtId="0" fontId="2" fillId="0" borderId="0" xfId="0" applyFont="1" applyBorder="1"/>
    <xf numFmtId="2" fontId="2" fillId="0" borderId="0" xfId="0" applyNumberFormat="1" applyFont="1" applyBorder="1" applyAlignment="1">
      <alignment horizontal="center"/>
    </xf>
    <xf numFmtId="0" fontId="19" fillId="0" borderId="0" xfId="0" applyFont="1" applyBorder="1" applyAlignment="1">
      <alignment vertical="center"/>
    </xf>
    <xf numFmtId="0" fontId="19" fillId="0" borderId="0" xfId="0" applyFont="1" applyBorder="1" applyAlignment="1"/>
    <xf numFmtId="0" fontId="2" fillId="0" borderId="0" xfId="0" applyFont="1" applyBorder="1" applyAlignment="1">
      <alignment horizontal="right"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xf>
    <xf numFmtId="164" fontId="2" fillId="0" borderId="0" xfId="0" applyNumberFormat="1" applyFont="1" applyFill="1" applyBorder="1" applyAlignment="1">
      <alignment horizontal="center" vertical="center"/>
    </xf>
    <xf numFmtId="8" fontId="2" fillId="0"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0" fontId="0" fillId="0" borderId="38" xfId="0" applyBorder="1"/>
    <xf numFmtId="9" fontId="14" fillId="0" borderId="35" xfId="0" applyNumberFormat="1" applyFont="1" applyFill="1" applyBorder="1" applyAlignment="1">
      <alignment horizontal="center" vertical="center"/>
    </xf>
    <xf numFmtId="1" fontId="0" fillId="0" borderId="33"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3" xfId="0" applyFont="1" applyFill="1" applyBorder="1" applyAlignment="1">
      <alignment horizontal="center" vertical="center"/>
    </xf>
    <xf numFmtId="1" fontId="0" fillId="0" borderId="33" xfId="0" applyNumberFormat="1" applyFill="1" applyBorder="1" applyAlignment="1">
      <alignment horizontal="center" vertical="center"/>
    </xf>
    <xf numFmtId="9" fontId="0" fillId="8" borderId="4" xfId="0" applyNumberFormat="1" applyFill="1" applyBorder="1"/>
    <xf numFmtId="164" fontId="0" fillId="8" borderId="0" xfId="0" applyNumberFormat="1" applyFill="1" applyAlignment="1">
      <alignment horizontal="center"/>
    </xf>
    <xf numFmtId="9" fontId="0" fillId="8" borderId="4" xfId="0" applyNumberFormat="1" applyFill="1" applyBorder="1" applyAlignment="1">
      <alignment horizontal="left"/>
    </xf>
    <xf numFmtId="0" fontId="6" fillId="8" borderId="7" xfId="0" applyFont="1" applyFill="1" applyBorder="1" applyAlignment="1"/>
    <xf numFmtId="0" fontId="6" fillId="8" borderId="16" xfId="0" applyFont="1" applyFill="1" applyBorder="1" applyAlignment="1">
      <alignment horizontal="center"/>
    </xf>
    <xf numFmtId="0" fontId="6" fillId="8" borderId="0" xfId="0" applyFont="1" applyFill="1" applyBorder="1" applyAlignment="1">
      <alignment horizontal="center"/>
    </xf>
    <xf numFmtId="8" fontId="0" fillId="8" borderId="27" xfId="0" applyNumberFormat="1" applyFill="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xf numFmtId="164" fontId="1" fillId="3" borderId="0" xfId="0" applyNumberFormat="1" applyFont="1" applyFill="1" applyBorder="1" applyAlignment="1"/>
    <xf numFmtId="0" fontId="25" fillId="3" borderId="0" xfId="0" applyFont="1" applyFill="1" applyBorder="1" applyAlignment="1">
      <alignment horizontal="center"/>
    </xf>
    <xf numFmtId="0" fontId="0" fillId="3" borderId="0" xfId="0" applyFill="1"/>
    <xf numFmtId="0" fontId="6" fillId="3" borderId="0" xfId="0" applyFont="1" applyFill="1" applyBorder="1"/>
    <xf numFmtId="0" fontId="6" fillId="3" borderId="0" xfId="0" applyFont="1" applyFill="1" applyBorder="1" applyAlignment="1">
      <alignment horizontal="right" vertical="center"/>
    </xf>
    <xf numFmtId="0" fontId="0" fillId="3" borderId="0" xfId="0" applyFill="1" applyAlignment="1">
      <alignment horizontal="right"/>
    </xf>
    <xf numFmtId="0" fontId="6" fillId="3" borderId="0" xfId="0" applyFont="1" applyFill="1" applyBorder="1" applyAlignment="1">
      <alignment horizontal="right"/>
    </xf>
    <xf numFmtId="166" fontId="1" fillId="10" borderId="0" xfId="0" applyNumberFormat="1" applyFont="1" applyFill="1" applyAlignment="1">
      <alignment horizontal="center"/>
    </xf>
    <xf numFmtId="0" fontId="6" fillId="0" borderId="7" xfId="0" applyFont="1" applyFill="1" applyBorder="1" applyAlignment="1">
      <alignment horizontal="center" vertical="center"/>
    </xf>
    <xf numFmtId="0" fontId="16" fillId="8" borderId="24" xfId="0" applyFont="1" applyFill="1" applyBorder="1" applyAlignment="1">
      <alignment horizontal="center" vertical="center"/>
    </xf>
    <xf numFmtId="2" fontId="0" fillId="0" borderId="27" xfId="0" applyNumberFormat="1" applyBorder="1" applyAlignment="1">
      <alignment horizontal="center" vertical="center"/>
    </xf>
    <xf numFmtId="2" fontId="8" fillId="0" borderId="5" xfId="0" applyNumberFormat="1" applyFont="1" applyFill="1" applyBorder="1" applyAlignment="1">
      <alignment horizontal="center" vertical="center"/>
    </xf>
    <xf numFmtId="0" fontId="11" fillId="0" borderId="0" xfId="0" applyFont="1"/>
    <xf numFmtId="0" fontId="2" fillId="0" borderId="0" xfId="0" applyFont="1" applyAlignment="1">
      <alignment horizontal="center"/>
    </xf>
    <xf numFmtId="167" fontId="19"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167" fontId="2" fillId="0" borderId="0" xfId="0" applyNumberFormat="1" applyFont="1" applyFill="1" applyAlignment="1">
      <alignment horizontal="center"/>
    </xf>
    <xf numFmtId="0" fontId="19" fillId="0" borderId="0" xfId="0" applyFont="1" applyAlignment="1">
      <alignment horizontal="center"/>
    </xf>
    <xf numFmtId="1" fontId="17" fillId="3" borderId="0" xfId="0" applyNumberFormat="1" applyFont="1" applyFill="1" applyBorder="1" applyAlignment="1">
      <alignment horizontal="right" vertical="center"/>
    </xf>
    <xf numFmtId="0" fontId="0" fillId="3" borderId="33" xfId="0" applyFill="1" applyBorder="1" applyAlignment="1">
      <alignment horizontal="right" vertical="center"/>
    </xf>
    <xf numFmtId="9" fontId="0" fillId="5" borderId="1" xfId="2" applyFont="1" applyFill="1" applyBorder="1" applyAlignment="1" applyProtection="1">
      <alignment horizontal="center" vertical="center"/>
      <protection locked="0"/>
    </xf>
    <xf numFmtId="0" fontId="31" fillId="0" borderId="0" xfId="0" applyFont="1"/>
    <xf numFmtId="0" fontId="11" fillId="0" borderId="17" xfId="0" applyFont="1" applyBorder="1"/>
    <xf numFmtId="0" fontId="2" fillId="0" borderId="0" xfId="0" applyFont="1"/>
    <xf numFmtId="0" fontId="2" fillId="0" borderId="0" xfId="0" applyFont="1" applyBorder="1" applyAlignment="1">
      <alignment vertical="center"/>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0" fillId="2" borderId="29" xfId="0" applyFill="1" applyBorder="1" applyAlignment="1">
      <alignment horizontal="center" vertical="center"/>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31" xfId="0" applyFont="1" applyFill="1" applyBorder="1" applyAlignment="1">
      <alignment horizontal="left" vertical="center"/>
    </xf>
    <xf numFmtId="0" fontId="23" fillId="4" borderId="10" xfId="0" applyFont="1" applyFill="1" applyBorder="1" applyAlignment="1">
      <alignment horizontal="left" vertical="center"/>
    </xf>
    <xf numFmtId="0" fontId="23" fillId="4" borderId="11" xfId="0" applyFont="1" applyFill="1" applyBorder="1" applyAlignment="1">
      <alignment horizontal="left" vertical="center"/>
    </xf>
    <xf numFmtId="0" fontId="23" fillId="4" borderId="12"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9" xfId="0" applyFont="1" applyFill="1" applyBorder="1" applyAlignment="1">
      <alignment horizontal="center" vertical="center"/>
    </xf>
    <xf numFmtId="0" fontId="20" fillId="2" borderId="27" xfId="0" applyFont="1" applyFill="1" applyBorder="1" applyAlignment="1">
      <alignment horizontal="left" vertical="center"/>
    </xf>
    <xf numFmtId="0" fontId="20" fillId="2" borderId="26" xfId="0" applyFont="1" applyFill="1" applyBorder="1" applyAlignment="1">
      <alignment horizontal="left" vertical="center"/>
    </xf>
    <xf numFmtId="0" fontId="20" fillId="2" borderId="15" xfId="0" applyFont="1" applyFill="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6" borderId="28" xfId="0" applyFont="1" applyFill="1" applyBorder="1" applyAlignment="1">
      <alignment horizontal="left" vertical="center"/>
    </xf>
    <xf numFmtId="0" fontId="0" fillId="6" borderId="18" xfId="0" applyFont="1" applyFill="1" applyBorder="1" applyAlignment="1">
      <alignment horizontal="left" vertical="center"/>
    </xf>
    <xf numFmtId="0" fontId="0" fillId="6" borderId="29" xfId="0" applyFont="1" applyFill="1" applyBorder="1" applyAlignment="1">
      <alignment horizontal="left" vertical="center"/>
    </xf>
    <xf numFmtId="0" fontId="0" fillId="6" borderId="9" xfId="0" applyFill="1" applyBorder="1" applyAlignment="1">
      <alignment horizontal="left" vertical="center"/>
    </xf>
    <xf numFmtId="0" fontId="0" fillId="6" borderId="8" xfId="0" applyFill="1" applyBorder="1" applyAlignment="1">
      <alignment horizontal="left" vertical="center"/>
    </xf>
    <xf numFmtId="0" fontId="0" fillId="6" borderId="21" xfId="0" applyFill="1" applyBorder="1" applyAlignment="1">
      <alignment horizontal="left" vertical="center"/>
    </xf>
    <xf numFmtId="0" fontId="0" fillId="3" borderId="9"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12" xfId="0" applyFont="1" applyFill="1" applyBorder="1" applyAlignment="1" applyProtection="1">
      <alignment horizontal="left" vertical="center"/>
      <protection locked="0"/>
    </xf>
    <xf numFmtId="0" fontId="0" fillId="3" borderId="28"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19" fillId="9" borderId="0" xfId="0" applyFont="1" applyFill="1" applyBorder="1" applyAlignment="1">
      <alignment horizontal="left" vertical="center"/>
    </xf>
    <xf numFmtId="0" fontId="0" fillId="0" borderId="0" xfId="0" applyAlignment="1">
      <alignment horizontal="left"/>
    </xf>
    <xf numFmtId="0" fontId="20" fillId="0" borderId="0" xfId="0" applyFont="1" applyAlignment="1">
      <alignment horizontal="left"/>
    </xf>
    <xf numFmtId="0" fontId="19" fillId="9" borderId="0" xfId="0" applyFont="1" applyFill="1" applyAlignment="1">
      <alignment horizontal="left" vertical="center"/>
    </xf>
    <xf numFmtId="0" fontId="6" fillId="8" borderId="6"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6" xfId="0" applyFont="1" applyFill="1" applyBorder="1" applyAlignment="1">
      <alignment horizontal="center"/>
    </xf>
    <xf numFmtId="0" fontId="6" fillId="8" borderId="7" xfId="0" applyFont="1" applyFill="1" applyBorder="1" applyAlignment="1">
      <alignment horizontal="center"/>
    </xf>
    <xf numFmtId="0" fontId="6" fillId="8" borderId="3" xfId="0" applyFont="1" applyFill="1" applyBorder="1" applyAlignment="1">
      <alignment horizontal="center"/>
    </xf>
    <xf numFmtId="0" fontId="0" fillId="0" borderId="0" xfId="0" applyAlignment="1">
      <alignment horizontal="left" wrapText="1"/>
    </xf>
  </cellXfs>
  <cellStyles count="3">
    <cellStyle name="Komma" xfId="1" builtinId="3"/>
    <cellStyle name="Procent" xfId="2" builtinId="5"/>
    <cellStyle name="Standaard" xfId="0" builtinId="0"/>
  </cellStyles>
  <dxfs count="0"/>
  <tableStyles count="0" defaultTableStyle="TableStyleMedium2" defaultPivotStyle="PivotStyleLight16"/>
  <colors>
    <mruColors>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Parameters!$A$104</c:f>
              <c:strCache>
                <c:ptCount val="1"/>
                <c:pt idx="0">
                  <c:v>Grafieken kostenverhouding:</c:v>
                </c:pt>
              </c:strCache>
            </c:strRef>
          </c:tx>
          <c:dPt>
            <c:idx val="0"/>
            <c:bubble3D val="0"/>
            <c:spPr>
              <a:solidFill>
                <a:schemeClr val="accent1">
                  <a:lumMod val="50000"/>
                </a:schemeClr>
              </a:solidFill>
            </c:spPr>
          </c:dPt>
          <c:dPt>
            <c:idx val="1"/>
            <c:bubble3D val="0"/>
            <c:spPr>
              <a:solidFill>
                <a:schemeClr val="accent2"/>
              </a:solidFill>
            </c:spPr>
          </c:dPt>
          <c:dPt>
            <c:idx val="2"/>
            <c:bubble3D val="0"/>
            <c:spPr>
              <a:solidFill>
                <a:schemeClr val="accent3"/>
              </a:solidFill>
            </c:spPr>
          </c:dPt>
          <c:dPt>
            <c:idx val="4"/>
            <c:bubble3D val="0"/>
            <c:spPr>
              <a:solidFill>
                <a:srgbClr val="FFC000"/>
              </a:solidFill>
            </c:spPr>
          </c:dPt>
          <c:dLbls>
            <c:dLbl>
              <c:idx val="0"/>
              <c:spPr/>
              <c:txPr>
                <a:bodyPr/>
                <a:lstStyle/>
                <a:p>
                  <a:pPr>
                    <a:defRPr sz="1100">
                      <a:solidFill>
                        <a:schemeClr val="bg1"/>
                      </a:solidFill>
                    </a:defRPr>
                  </a:pPr>
                  <a:endParaRPr lang="nl-BE"/>
                </a:p>
              </c:txPr>
              <c:showLegendKey val="0"/>
              <c:showVal val="0"/>
              <c:showCatName val="0"/>
              <c:showSerName val="0"/>
              <c:showPercent val="1"/>
              <c:showBubbleSize val="0"/>
            </c:dLbl>
            <c:spPr>
              <a:noFill/>
              <a:ln>
                <a:noFill/>
              </a:ln>
              <a:effectLst/>
            </c:spPr>
            <c:txPr>
              <a:bodyPr/>
              <a:lstStyle/>
              <a:p>
                <a:pPr>
                  <a:defRPr sz="1100"/>
                </a:pPr>
                <a:endParaRPr lang="nl-B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Parameters!$A$105:$A$110</c:f>
              <c:strCache>
                <c:ptCount val="6"/>
                <c:pt idx="0">
                  <c:v>Oogsten</c:v>
                </c:pt>
                <c:pt idx="1">
                  <c:v>Verzamelen en uitrijden</c:v>
                </c:pt>
                <c:pt idx="2">
                  <c:v>Verwerken</c:v>
                </c:pt>
                <c:pt idx="3">
                  <c:v>Uitrijden chips/brandhout</c:v>
                </c:pt>
                <c:pt idx="4">
                  <c:v>Transport</c:v>
                </c:pt>
                <c:pt idx="5">
                  <c:v>Prijsvermindering as</c:v>
                </c:pt>
              </c:strCache>
            </c:strRef>
          </c:cat>
          <c:val>
            <c:numRef>
              <c:f>Parameters!$B$105:$B$110</c:f>
              <c:numCache>
                <c:formatCode>"€"\ #,##0.00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7254708497503382"/>
          <c:y val="0.16073770418677683"/>
          <c:w val="0.36930033547727426"/>
          <c:h val="0.65586443157791441"/>
        </c:manualLayout>
      </c:layout>
      <c:overlay val="0"/>
      <c:txPr>
        <a:bodyPr/>
        <a:lstStyle/>
        <a:p>
          <a:pPr>
            <a:defRPr sz="11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38123736122377"/>
          <c:y val="8.5281412851824501E-2"/>
          <c:w val="0.69806093247208301"/>
          <c:h val="0.49737789216823713"/>
        </c:manualLayout>
      </c:layout>
      <c:barChart>
        <c:barDir val="col"/>
        <c:grouping val="clustered"/>
        <c:varyColors val="0"/>
        <c:ser>
          <c:idx val="0"/>
          <c:order val="0"/>
          <c:invertIfNegative val="0"/>
          <c:dPt>
            <c:idx val="0"/>
            <c:invertIfNegative val="0"/>
            <c:bubble3D val="0"/>
            <c:spPr>
              <a:solidFill>
                <a:schemeClr val="tx2">
                  <a:lumMod val="75000"/>
                </a:schemeClr>
              </a:solidFill>
            </c:spPr>
          </c:dPt>
          <c:dPt>
            <c:idx val="1"/>
            <c:invertIfNegative val="0"/>
            <c:bubble3D val="0"/>
            <c:spPr>
              <a:solidFill>
                <a:schemeClr val="accent2"/>
              </a:solidFill>
            </c:spPr>
          </c:dPt>
          <c:dPt>
            <c:idx val="2"/>
            <c:invertIfNegative val="0"/>
            <c:bubble3D val="0"/>
            <c:spPr>
              <a:solidFill>
                <a:schemeClr val="accent3"/>
              </a:solidFill>
            </c:spPr>
          </c:dPt>
          <c:dPt>
            <c:idx val="3"/>
            <c:invertIfNegative val="0"/>
            <c:bubble3D val="0"/>
            <c:spPr>
              <a:solidFill>
                <a:schemeClr val="accent4">
                  <a:lumMod val="75000"/>
                </a:schemeClr>
              </a:solidFill>
            </c:spPr>
          </c:dPt>
          <c:dPt>
            <c:idx val="4"/>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Parameters!$A$105:$A$110</c:f>
              <c:strCache>
                <c:ptCount val="6"/>
                <c:pt idx="0">
                  <c:v>Oogsten</c:v>
                </c:pt>
                <c:pt idx="1">
                  <c:v>Verzamelen en uitrijden</c:v>
                </c:pt>
                <c:pt idx="2">
                  <c:v>Verwerken</c:v>
                </c:pt>
                <c:pt idx="3">
                  <c:v>Uitrijden chips/brandhout</c:v>
                </c:pt>
                <c:pt idx="4">
                  <c:v>Transport</c:v>
                </c:pt>
                <c:pt idx="5">
                  <c:v>Prijsvermindering as</c:v>
                </c:pt>
              </c:strCache>
            </c:strRef>
          </c:cat>
          <c:val>
            <c:numRef>
              <c:f>Parameters!$B$105:$B$110</c:f>
              <c:numCache>
                <c:formatCode>"€"\ #,##0.00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58"/>
        <c:overlap val="-18"/>
        <c:axId val="92185344"/>
        <c:axId val="92186880"/>
      </c:barChart>
      <c:catAx>
        <c:axId val="92185344"/>
        <c:scaling>
          <c:orientation val="minMax"/>
        </c:scaling>
        <c:delete val="0"/>
        <c:axPos val="b"/>
        <c:numFmt formatCode="General" sourceLinked="0"/>
        <c:majorTickMark val="none"/>
        <c:minorTickMark val="none"/>
        <c:tickLblPos val="nextTo"/>
        <c:txPr>
          <a:bodyPr/>
          <a:lstStyle/>
          <a:p>
            <a:pPr>
              <a:defRPr sz="1100"/>
            </a:pPr>
            <a:endParaRPr lang="nl-BE"/>
          </a:p>
        </c:txPr>
        <c:crossAx val="92186880"/>
        <c:crosses val="autoZero"/>
        <c:auto val="1"/>
        <c:lblAlgn val="ctr"/>
        <c:lblOffset val="100"/>
        <c:noMultiLvlLbl val="0"/>
      </c:catAx>
      <c:valAx>
        <c:axId val="92186880"/>
        <c:scaling>
          <c:orientation val="minMax"/>
        </c:scaling>
        <c:delete val="0"/>
        <c:axPos val="l"/>
        <c:majorGridlines/>
        <c:numFmt formatCode="&quot;€&quot;\ #,##0.00" sourceLinked="1"/>
        <c:majorTickMark val="none"/>
        <c:minorTickMark val="none"/>
        <c:tickLblPos val="nextTo"/>
        <c:txPr>
          <a:bodyPr/>
          <a:lstStyle/>
          <a:p>
            <a:pPr>
              <a:defRPr sz="1100"/>
            </a:pPr>
            <a:endParaRPr lang="nl-BE"/>
          </a:p>
        </c:txPr>
        <c:crossAx val="92185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6</xdr:col>
      <xdr:colOff>180975</xdr:colOff>
      <xdr:row>63</xdr:row>
      <xdr:rowOff>90238</xdr:rowOff>
    </xdr:from>
    <xdr:to>
      <xdr:col>12</xdr:col>
      <xdr:colOff>203343</xdr:colOff>
      <xdr:row>73</xdr:row>
      <xdr:rowOff>122258</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63</xdr:row>
      <xdr:rowOff>114300</xdr:rowOff>
    </xdr:from>
    <xdr:to>
      <xdr:col>7</xdr:col>
      <xdr:colOff>66674</xdr:colOff>
      <xdr:row>73</xdr:row>
      <xdr:rowOff>149831</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215915</xdr:colOff>
      <xdr:row>0</xdr:row>
      <xdr:rowOff>57150</xdr:rowOff>
    </xdr:from>
    <xdr:to>
      <xdr:col>12</xdr:col>
      <xdr:colOff>457683</xdr:colOff>
      <xdr:row>1</xdr:row>
      <xdr:rowOff>228600</xdr:rowOff>
    </xdr:to>
    <xdr:pic>
      <xdr:nvPicPr>
        <xdr:cNvPr id="6"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0090" y="57150"/>
          <a:ext cx="1908643" cy="6858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1846346</xdr:colOff>
      <xdr:row>88</xdr:row>
      <xdr:rowOff>15473</xdr:rowOff>
    </xdr:from>
    <xdr:to>
      <xdr:col>0</xdr:col>
      <xdr:colOff>2281961</xdr:colOff>
      <xdr:row>89</xdr:row>
      <xdr:rowOff>2</xdr:rowOff>
    </xdr:to>
    <xdr:pic>
      <xdr:nvPicPr>
        <xdr:cNvPr id="2" name="Afbeelding 1"/>
        <xdr:cNvPicPr>
          <a:picLocks noChangeAspect="1"/>
        </xdr:cNvPicPr>
      </xdr:nvPicPr>
      <xdr:blipFill>
        <a:blip xmlns:r="http://schemas.openxmlformats.org/officeDocument/2006/relationships" r:embed="rId1"/>
        <a:stretch>
          <a:fillRect/>
        </a:stretch>
      </xdr:blipFill>
      <xdr:spPr>
        <a:xfrm flipH="1">
          <a:off x="1846346" y="14349436"/>
          <a:ext cx="435615" cy="170382"/>
        </a:xfrm>
        <a:prstGeom prst="rect">
          <a:avLst/>
        </a:prstGeom>
      </xdr:spPr>
    </xdr:pic>
    <xdr:clientData/>
  </xdr:twoCellAnchor>
  <xdr:twoCellAnchor editAs="oneCell">
    <xdr:from>
      <xdr:col>0</xdr:col>
      <xdr:colOff>1748142</xdr:colOff>
      <xdr:row>93</xdr:row>
      <xdr:rowOff>35719</xdr:rowOff>
    </xdr:from>
    <xdr:to>
      <xdr:col>0</xdr:col>
      <xdr:colOff>2249993</xdr:colOff>
      <xdr:row>94</xdr:row>
      <xdr:rowOff>16672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1748142" y="17823657"/>
          <a:ext cx="501851" cy="171453"/>
        </a:xfrm>
        <a:prstGeom prst="rect">
          <a:avLst/>
        </a:prstGeom>
      </xdr:spPr>
    </xdr:pic>
    <xdr:clientData/>
  </xdr:twoCellAnchor>
  <xdr:twoCellAnchor editAs="oneCell">
    <xdr:from>
      <xdr:col>0</xdr:col>
      <xdr:colOff>1758864</xdr:colOff>
      <xdr:row>90</xdr:row>
      <xdr:rowOff>26266</xdr:rowOff>
    </xdr:from>
    <xdr:to>
      <xdr:col>0</xdr:col>
      <xdr:colOff>2268336</xdr:colOff>
      <xdr:row>90</xdr:row>
      <xdr:rowOff>182465</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1758864" y="14731937"/>
          <a:ext cx="509472" cy="156199"/>
        </a:xfrm>
        <a:prstGeom prst="rect">
          <a:avLst/>
        </a:prstGeom>
      </xdr:spPr>
    </xdr:pic>
    <xdr:clientData/>
  </xdr:twoCellAnchor>
  <xdr:twoCellAnchor editAs="oneCell">
    <xdr:from>
      <xdr:col>0</xdr:col>
      <xdr:colOff>1752137</xdr:colOff>
      <xdr:row>92</xdr:row>
      <xdr:rowOff>26266</xdr:rowOff>
    </xdr:from>
    <xdr:to>
      <xdr:col>0</xdr:col>
      <xdr:colOff>2261609</xdr:colOff>
      <xdr:row>92</xdr:row>
      <xdr:rowOff>182465</xdr:rowOff>
    </xdr:to>
    <xdr:pic>
      <xdr:nvPicPr>
        <xdr:cNvPr id="5" name="Afbeelding 4"/>
        <xdr:cNvPicPr>
          <a:picLocks noChangeAspect="1"/>
        </xdr:cNvPicPr>
      </xdr:nvPicPr>
      <xdr:blipFill>
        <a:blip xmlns:r="http://schemas.openxmlformats.org/officeDocument/2006/relationships" r:embed="rId3"/>
        <a:stretch>
          <a:fillRect/>
        </a:stretch>
      </xdr:blipFill>
      <xdr:spPr>
        <a:xfrm>
          <a:off x="1752137" y="15103644"/>
          <a:ext cx="509472" cy="156199"/>
        </a:xfrm>
        <a:prstGeom prst="rect">
          <a:avLst/>
        </a:prstGeom>
      </xdr:spPr>
    </xdr:pic>
    <xdr:clientData/>
  </xdr:twoCellAnchor>
  <xdr:twoCellAnchor editAs="oneCell">
    <xdr:from>
      <xdr:col>0</xdr:col>
      <xdr:colOff>1938237</xdr:colOff>
      <xdr:row>89</xdr:row>
      <xdr:rowOff>14944</xdr:rowOff>
    </xdr:from>
    <xdr:to>
      <xdr:col>0</xdr:col>
      <xdr:colOff>2263314</xdr:colOff>
      <xdr:row>90</xdr:row>
      <xdr:rowOff>11270</xdr:rowOff>
    </xdr:to>
    <xdr:pic>
      <xdr:nvPicPr>
        <xdr:cNvPr id="6" name="Afbeelding 5"/>
        <xdr:cNvPicPr>
          <a:picLocks noChangeAspect="1"/>
        </xdr:cNvPicPr>
      </xdr:nvPicPr>
      <xdr:blipFill>
        <a:blip xmlns:r="http://schemas.openxmlformats.org/officeDocument/2006/relationships" r:embed="rId4"/>
        <a:stretch>
          <a:fillRect/>
        </a:stretch>
      </xdr:blipFill>
      <xdr:spPr>
        <a:xfrm>
          <a:off x="1938237" y="14534761"/>
          <a:ext cx="325077" cy="182180"/>
        </a:xfrm>
        <a:prstGeom prst="rect">
          <a:avLst/>
        </a:prstGeom>
      </xdr:spPr>
    </xdr:pic>
    <xdr:clientData/>
  </xdr:twoCellAnchor>
  <xdr:twoCellAnchor editAs="oneCell">
    <xdr:from>
      <xdr:col>0</xdr:col>
      <xdr:colOff>1933113</xdr:colOff>
      <xdr:row>91</xdr:row>
      <xdr:rowOff>14944</xdr:rowOff>
    </xdr:from>
    <xdr:to>
      <xdr:col>0</xdr:col>
      <xdr:colOff>2258190</xdr:colOff>
      <xdr:row>92</xdr:row>
      <xdr:rowOff>11271</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1933113" y="14906468"/>
          <a:ext cx="325077" cy="182180"/>
        </a:xfrm>
        <a:prstGeom prst="rect">
          <a:avLst/>
        </a:prstGeom>
      </xdr:spPr>
    </xdr:pic>
    <xdr:clientData/>
  </xdr:twoCellAnchor>
  <xdr:twoCellAnchor editAs="oneCell">
    <xdr:from>
      <xdr:col>0</xdr:col>
      <xdr:colOff>1972622</xdr:colOff>
      <xdr:row>67</xdr:row>
      <xdr:rowOff>49983</xdr:rowOff>
    </xdr:from>
    <xdr:to>
      <xdr:col>0</xdr:col>
      <xdr:colOff>2382198</xdr:colOff>
      <xdr:row>68</xdr:row>
      <xdr:rowOff>5726</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1972622" y="12884921"/>
          <a:ext cx="409576" cy="146243"/>
        </a:xfrm>
        <a:prstGeom prst="rect">
          <a:avLst/>
        </a:prstGeom>
      </xdr:spPr>
    </xdr:pic>
    <xdr:clientData/>
  </xdr:twoCellAnchor>
  <xdr:twoCellAnchor editAs="oneCell">
    <xdr:from>
      <xdr:col>0</xdr:col>
      <xdr:colOff>1978333</xdr:colOff>
      <xdr:row>65</xdr:row>
      <xdr:rowOff>737</xdr:rowOff>
    </xdr:from>
    <xdr:to>
      <xdr:col>0</xdr:col>
      <xdr:colOff>2360314</xdr:colOff>
      <xdr:row>65</xdr:row>
      <xdr:rowOff>171036</xdr:rowOff>
    </xdr:to>
    <xdr:pic>
      <xdr:nvPicPr>
        <xdr:cNvPr id="9" name="Afbeelding 8"/>
        <xdr:cNvPicPr>
          <a:picLocks noChangeAspect="1"/>
        </xdr:cNvPicPr>
      </xdr:nvPicPr>
      <xdr:blipFill>
        <a:blip xmlns:r="http://schemas.openxmlformats.org/officeDocument/2006/relationships" r:embed="rId6"/>
        <a:stretch>
          <a:fillRect/>
        </a:stretch>
      </xdr:blipFill>
      <xdr:spPr>
        <a:xfrm flipH="1">
          <a:off x="1978333" y="12710659"/>
          <a:ext cx="381981" cy="170299"/>
        </a:xfrm>
        <a:prstGeom prst="rect">
          <a:avLst/>
        </a:prstGeom>
      </xdr:spPr>
    </xdr:pic>
    <xdr:clientData/>
  </xdr:twoCellAnchor>
  <xdr:twoCellAnchor>
    <xdr:from>
      <xdr:col>1</xdr:col>
      <xdr:colOff>4762</xdr:colOff>
      <xdr:row>66</xdr:row>
      <xdr:rowOff>39273</xdr:rowOff>
    </xdr:from>
    <xdr:to>
      <xdr:col>1</xdr:col>
      <xdr:colOff>4762</xdr:colOff>
      <xdr:row>67</xdr:row>
      <xdr:rowOff>3480</xdr:rowOff>
    </xdr:to>
    <xdr:grpSp>
      <xdr:nvGrpSpPr>
        <xdr:cNvPr id="10" name="Groep 9"/>
        <xdr:cNvGrpSpPr/>
      </xdr:nvGrpSpPr>
      <xdr:grpSpPr>
        <a:xfrm>
          <a:off x="2728912" y="12688473"/>
          <a:ext cx="0" cy="154707"/>
          <a:chOff x="6803342" y="3789041"/>
          <a:chExt cx="1153033" cy="286072"/>
        </a:xfrm>
      </xdr:grpSpPr>
      <xdr:pic>
        <xdr:nvPicPr>
          <xdr:cNvPr id="11" name="Picture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03342" y="3789041"/>
            <a:ext cx="465819" cy="2727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7269160" y="3789041"/>
            <a:ext cx="687215" cy="2860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editAs="oneCell">
    <xdr:from>
      <xdr:col>0</xdr:col>
      <xdr:colOff>1993106</xdr:colOff>
      <xdr:row>50</xdr:row>
      <xdr:rowOff>143642</xdr:rowOff>
    </xdr:from>
    <xdr:to>
      <xdr:col>0</xdr:col>
      <xdr:colOff>2350080</xdr:colOff>
      <xdr:row>51</xdr:row>
      <xdr:rowOff>171830</xdr:rowOff>
    </xdr:to>
    <xdr:pic>
      <xdr:nvPicPr>
        <xdr:cNvPr id="13" name="Afbeelding 12"/>
        <xdr:cNvPicPr>
          <a:picLocks noChangeAspect="1"/>
        </xdr:cNvPicPr>
      </xdr:nvPicPr>
      <xdr:blipFill>
        <a:blip xmlns:r="http://schemas.openxmlformats.org/officeDocument/2006/relationships" r:embed="rId9"/>
        <a:stretch>
          <a:fillRect/>
        </a:stretch>
      </xdr:blipFill>
      <xdr:spPr>
        <a:xfrm>
          <a:off x="1993106" y="10402861"/>
          <a:ext cx="356974" cy="216704"/>
        </a:xfrm>
        <a:prstGeom prst="rect">
          <a:avLst/>
        </a:prstGeom>
      </xdr:spPr>
    </xdr:pic>
    <xdr:clientData/>
  </xdr:twoCellAnchor>
  <xdr:twoCellAnchor editAs="oneCell">
    <xdr:from>
      <xdr:col>0</xdr:col>
      <xdr:colOff>1993106</xdr:colOff>
      <xdr:row>59</xdr:row>
      <xdr:rowOff>115909</xdr:rowOff>
    </xdr:from>
    <xdr:to>
      <xdr:col>0</xdr:col>
      <xdr:colOff>2331641</xdr:colOff>
      <xdr:row>60</xdr:row>
      <xdr:rowOff>179370</xdr:rowOff>
    </xdr:to>
    <xdr:pic>
      <xdr:nvPicPr>
        <xdr:cNvPr id="14" name="Afbeelding 13"/>
        <xdr:cNvPicPr>
          <a:picLocks noChangeAspect="1"/>
        </xdr:cNvPicPr>
      </xdr:nvPicPr>
      <xdr:blipFill>
        <a:blip xmlns:r="http://schemas.openxmlformats.org/officeDocument/2006/relationships" r:embed="rId10"/>
        <a:stretch>
          <a:fillRect/>
        </a:stretch>
      </xdr:blipFill>
      <xdr:spPr>
        <a:xfrm>
          <a:off x="1993106" y="12637315"/>
          <a:ext cx="338535" cy="251977"/>
        </a:xfrm>
        <a:prstGeom prst="rect">
          <a:avLst/>
        </a:prstGeom>
      </xdr:spPr>
    </xdr:pic>
    <xdr:clientData/>
  </xdr:twoCellAnchor>
  <xdr:twoCellAnchor editAs="oneCell">
    <xdr:from>
      <xdr:col>0</xdr:col>
      <xdr:colOff>1988644</xdr:colOff>
      <xdr:row>60</xdr:row>
      <xdr:rowOff>169050</xdr:rowOff>
    </xdr:from>
    <xdr:to>
      <xdr:col>0</xdr:col>
      <xdr:colOff>2404755</xdr:colOff>
      <xdr:row>61</xdr:row>
      <xdr:rowOff>183332</xdr:rowOff>
    </xdr:to>
    <xdr:pic>
      <xdr:nvPicPr>
        <xdr:cNvPr id="15" name="Afbeelding 14"/>
        <xdr:cNvPicPr>
          <a:picLocks noChangeAspect="1"/>
        </xdr:cNvPicPr>
      </xdr:nvPicPr>
      <xdr:blipFill>
        <a:blip xmlns:r="http://schemas.openxmlformats.org/officeDocument/2006/relationships" r:embed="rId11"/>
        <a:stretch>
          <a:fillRect/>
        </a:stretch>
      </xdr:blipFill>
      <xdr:spPr>
        <a:xfrm flipH="1">
          <a:off x="1988644" y="11936394"/>
          <a:ext cx="416111" cy="202798"/>
        </a:xfrm>
        <a:prstGeom prst="rect">
          <a:avLst/>
        </a:prstGeom>
      </xdr:spPr>
    </xdr:pic>
    <xdr:clientData/>
  </xdr:twoCellAnchor>
  <xdr:twoCellAnchor editAs="oneCell">
    <xdr:from>
      <xdr:col>0</xdr:col>
      <xdr:colOff>2069306</xdr:colOff>
      <xdr:row>53</xdr:row>
      <xdr:rowOff>30940</xdr:rowOff>
    </xdr:from>
    <xdr:to>
      <xdr:col>0</xdr:col>
      <xdr:colOff>2355056</xdr:colOff>
      <xdr:row>53</xdr:row>
      <xdr:rowOff>183339</xdr:rowOff>
    </xdr:to>
    <xdr:pic>
      <xdr:nvPicPr>
        <xdr:cNvPr id="16" name="Afbeelding 15"/>
        <xdr:cNvPicPr>
          <a:picLocks noChangeAspect="1"/>
        </xdr:cNvPicPr>
      </xdr:nvPicPr>
      <xdr:blipFill>
        <a:blip xmlns:r="http://schemas.openxmlformats.org/officeDocument/2006/relationships" r:embed="rId12"/>
        <a:stretch>
          <a:fillRect/>
        </a:stretch>
      </xdr:blipFill>
      <xdr:spPr>
        <a:xfrm>
          <a:off x="2069306" y="11722878"/>
          <a:ext cx="285750" cy="152399"/>
        </a:xfrm>
        <a:prstGeom prst="rect">
          <a:avLst/>
        </a:prstGeom>
      </xdr:spPr>
    </xdr:pic>
    <xdr:clientData/>
  </xdr:twoCellAnchor>
  <xdr:twoCellAnchor editAs="oneCell">
    <xdr:from>
      <xdr:col>0</xdr:col>
      <xdr:colOff>2059781</xdr:colOff>
      <xdr:row>54</xdr:row>
      <xdr:rowOff>13873</xdr:rowOff>
    </xdr:from>
    <xdr:to>
      <xdr:col>0</xdr:col>
      <xdr:colOff>2345531</xdr:colOff>
      <xdr:row>54</xdr:row>
      <xdr:rowOff>166273</xdr:rowOff>
    </xdr:to>
    <xdr:pic>
      <xdr:nvPicPr>
        <xdr:cNvPr id="17" name="Afbeelding 16"/>
        <xdr:cNvPicPr>
          <a:picLocks noChangeAspect="1"/>
        </xdr:cNvPicPr>
      </xdr:nvPicPr>
      <xdr:blipFill>
        <a:blip xmlns:r="http://schemas.openxmlformats.org/officeDocument/2006/relationships" r:embed="rId12"/>
        <a:stretch>
          <a:fillRect/>
        </a:stretch>
      </xdr:blipFill>
      <xdr:spPr>
        <a:xfrm>
          <a:off x="2059781" y="10838639"/>
          <a:ext cx="285750" cy="152400"/>
        </a:xfrm>
        <a:prstGeom prst="rect">
          <a:avLst/>
        </a:prstGeom>
      </xdr:spPr>
    </xdr:pic>
    <xdr:clientData/>
  </xdr:twoCellAnchor>
  <xdr:twoCellAnchor editAs="oneCell">
    <xdr:from>
      <xdr:col>0</xdr:col>
      <xdr:colOff>2164556</xdr:colOff>
      <xdr:row>49</xdr:row>
      <xdr:rowOff>148812</xdr:rowOff>
    </xdr:from>
    <xdr:to>
      <xdr:col>0</xdr:col>
      <xdr:colOff>2250281</xdr:colOff>
      <xdr:row>50</xdr:row>
      <xdr:rowOff>161652</xdr:rowOff>
    </xdr:to>
    <xdr:pic>
      <xdr:nvPicPr>
        <xdr:cNvPr id="18" name="Afbeelding 17"/>
        <xdr:cNvPicPr>
          <a:picLocks noChangeAspect="1"/>
        </xdr:cNvPicPr>
      </xdr:nvPicPr>
      <xdr:blipFill>
        <a:blip xmlns:r="http://schemas.openxmlformats.org/officeDocument/2006/relationships" r:embed="rId13"/>
        <a:stretch>
          <a:fillRect/>
        </a:stretch>
      </xdr:blipFill>
      <xdr:spPr>
        <a:xfrm>
          <a:off x="2164556" y="10219515"/>
          <a:ext cx="85725" cy="201355"/>
        </a:xfrm>
        <a:prstGeom prst="rect">
          <a:avLst/>
        </a:prstGeom>
      </xdr:spPr>
    </xdr:pic>
    <xdr:clientData/>
  </xdr:twoCellAnchor>
  <xdr:twoCellAnchor editAs="oneCell">
    <xdr:from>
      <xdr:col>0</xdr:col>
      <xdr:colOff>2058961</xdr:colOff>
      <xdr:row>59</xdr:row>
      <xdr:rowOff>19845</xdr:rowOff>
    </xdr:from>
    <xdr:to>
      <xdr:col>0</xdr:col>
      <xdr:colOff>2333102</xdr:colOff>
      <xdr:row>59</xdr:row>
      <xdr:rowOff>167976</xdr:rowOff>
    </xdr:to>
    <xdr:pic>
      <xdr:nvPicPr>
        <xdr:cNvPr id="19" name="Afbeelding 18"/>
        <xdr:cNvPicPr>
          <a:picLocks noChangeAspect="1"/>
        </xdr:cNvPicPr>
      </xdr:nvPicPr>
      <xdr:blipFill>
        <a:blip xmlns:r="http://schemas.openxmlformats.org/officeDocument/2006/relationships" r:embed="rId14"/>
        <a:stretch>
          <a:fillRect/>
        </a:stretch>
      </xdr:blipFill>
      <xdr:spPr>
        <a:xfrm>
          <a:off x="2058961" y="12541251"/>
          <a:ext cx="274141" cy="148131"/>
        </a:xfrm>
        <a:prstGeom prst="rect">
          <a:avLst/>
        </a:prstGeom>
      </xdr:spPr>
    </xdr:pic>
    <xdr:clientData/>
  </xdr:twoCellAnchor>
  <xdr:twoCellAnchor editAs="oneCell">
    <xdr:from>
      <xdr:col>0</xdr:col>
      <xdr:colOff>1947148</xdr:colOff>
      <xdr:row>72</xdr:row>
      <xdr:rowOff>9114</xdr:rowOff>
    </xdr:from>
    <xdr:to>
      <xdr:col>0</xdr:col>
      <xdr:colOff>2382763</xdr:colOff>
      <xdr:row>72</xdr:row>
      <xdr:rowOff>182158</xdr:rowOff>
    </xdr:to>
    <xdr:pic>
      <xdr:nvPicPr>
        <xdr:cNvPr id="20" name="Afbeelding 19"/>
        <xdr:cNvPicPr>
          <a:picLocks noChangeAspect="1"/>
        </xdr:cNvPicPr>
      </xdr:nvPicPr>
      <xdr:blipFill>
        <a:blip xmlns:r="http://schemas.openxmlformats.org/officeDocument/2006/relationships" r:embed="rId1"/>
        <a:stretch>
          <a:fillRect/>
        </a:stretch>
      </xdr:blipFill>
      <xdr:spPr>
        <a:xfrm flipH="1">
          <a:off x="1947148" y="13796552"/>
          <a:ext cx="435615" cy="173044"/>
        </a:xfrm>
        <a:prstGeom prst="rect">
          <a:avLst/>
        </a:prstGeom>
      </xdr:spPr>
    </xdr:pic>
    <xdr:clientData/>
  </xdr:twoCellAnchor>
  <xdr:oneCellAnchor>
    <xdr:from>
      <xdr:col>0</xdr:col>
      <xdr:colOff>1934790</xdr:colOff>
      <xdr:row>58</xdr:row>
      <xdr:rowOff>29766</xdr:rowOff>
    </xdr:from>
    <xdr:ext cx="608980" cy="133350"/>
    <xdr:pic>
      <xdr:nvPicPr>
        <xdr:cNvPr id="21" name="Afbeelding 20"/>
        <xdr:cNvPicPr>
          <a:picLocks noChangeAspect="1"/>
        </xdr:cNvPicPr>
      </xdr:nvPicPr>
      <xdr:blipFill>
        <a:blip xmlns:r="http://schemas.openxmlformats.org/officeDocument/2006/relationships" r:embed="rId15"/>
        <a:stretch>
          <a:fillRect/>
        </a:stretch>
      </xdr:blipFill>
      <xdr:spPr>
        <a:xfrm>
          <a:off x="1934790" y="12362657"/>
          <a:ext cx="608980" cy="133350"/>
        </a:xfrm>
        <a:prstGeom prst="rect">
          <a:avLst/>
        </a:prstGeom>
      </xdr:spPr>
    </xdr:pic>
    <xdr:clientData/>
  </xdr:oneCellAnchor>
  <xdr:twoCellAnchor editAs="oneCell">
    <xdr:from>
      <xdr:col>0</xdr:col>
      <xdr:colOff>1947868</xdr:colOff>
      <xdr:row>52</xdr:row>
      <xdr:rowOff>28566</xdr:rowOff>
    </xdr:from>
    <xdr:to>
      <xdr:col>0</xdr:col>
      <xdr:colOff>2233618</xdr:colOff>
      <xdr:row>52</xdr:row>
      <xdr:rowOff>180965</xdr:rowOff>
    </xdr:to>
    <xdr:pic>
      <xdr:nvPicPr>
        <xdr:cNvPr id="22" name="Afbeelding 21"/>
        <xdr:cNvPicPr>
          <a:picLocks noChangeAspect="1"/>
        </xdr:cNvPicPr>
      </xdr:nvPicPr>
      <xdr:blipFill>
        <a:blip xmlns:r="http://schemas.openxmlformats.org/officeDocument/2006/relationships" r:embed="rId12"/>
        <a:stretch>
          <a:fillRect/>
        </a:stretch>
      </xdr:blipFill>
      <xdr:spPr>
        <a:xfrm>
          <a:off x="1947868" y="11530004"/>
          <a:ext cx="285750" cy="152399"/>
        </a:xfrm>
        <a:prstGeom prst="rect">
          <a:avLst/>
        </a:prstGeom>
      </xdr:spPr>
    </xdr:pic>
    <xdr:clientData/>
  </xdr:twoCellAnchor>
  <xdr:twoCellAnchor editAs="oneCell">
    <xdr:from>
      <xdr:col>0</xdr:col>
      <xdr:colOff>2305050</xdr:colOff>
      <xdr:row>51</xdr:row>
      <xdr:rowOff>182144</xdr:rowOff>
    </xdr:from>
    <xdr:to>
      <xdr:col>0</xdr:col>
      <xdr:colOff>2390775</xdr:colOff>
      <xdr:row>53</xdr:row>
      <xdr:rowOff>4484</xdr:rowOff>
    </xdr:to>
    <xdr:pic>
      <xdr:nvPicPr>
        <xdr:cNvPr id="23" name="Afbeelding 22"/>
        <xdr:cNvPicPr>
          <a:picLocks noChangeAspect="1"/>
        </xdr:cNvPicPr>
      </xdr:nvPicPr>
      <xdr:blipFill>
        <a:blip xmlns:r="http://schemas.openxmlformats.org/officeDocument/2006/relationships" r:embed="rId13"/>
        <a:stretch>
          <a:fillRect/>
        </a:stretch>
      </xdr:blipFill>
      <xdr:spPr>
        <a:xfrm>
          <a:off x="2305050" y="11493082"/>
          <a:ext cx="85725" cy="203340"/>
        </a:xfrm>
        <a:prstGeom prst="rect">
          <a:avLst/>
        </a:prstGeom>
      </xdr:spPr>
    </xdr:pic>
    <xdr:clientData/>
  </xdr:twoCellAnchor>
  <xdr:twoCellAnchor>
    <xdr:from>
      <xdr:col>0</xdr:col>
      <xdr:colOff>1869281</xdr:colOff>
      <xdr:row>66</xdr:row>
      <xdr:rowOff>47625</xdr:rowOff>
    </xdr:from>
    <xdr:to>
      <xdr:col>0</xdr:col>
      <xdr:colOff>2564606</xdr:colOff>
      <xdr:row>67</xdr:row>
      <xdr:rowOff>9847</xdr:rowOff>
    </xdr:to>
    <xdr:grpSp>
      <xdr:nvGrpSpPr>
        <xdr:cNvPr id="24" name="Groep 23"/>
        <xdr:cNvGrpSpPr/>
      </xdr:nvGrpSpPr>
      <xdr:grpSpPr>
        <a:xfrm>
          <a:off x="1869281" y="12696825"/>
          <a:ext cx="695325" cy="152722"/>
          <a:chOff x="6803342" y="3789041"/>
          <a:chExt cx="1153033" cy="286072"/>
        </a:xfrm>
      </xdr:grpSpPr>
      <xdr:pic>
        <xdr:nvPicPr>
          <xdr:cNvPr id="25" name="Picture 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803342" y="3789041"/>
            <a:ext cx="465819" cy="2727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26" name="Picture 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7269160" y="3789041"/>
            <a:ext cx="687215" cy="2860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92D050"/>
    <pageSetUpPr fitToPage="1"/>
  </sheetPr>
  <dimension ref="A1:AA91"/>
  <sheetViews>
    <sheetView tabSelected="1" zoomScaleNormal="100" workbookViewId="0">
      <selection activeCell="B37" sqref="B37"/>
    </sheetView>
  </sheetViews>
  <sheetFormatPr defaultRowHeight="15" x14ac:dyDescent="0.25"/>
  <cols>
    <col min="1" max="1" width="7.7109375" customWidth="1"/>
    <col min="2" max="2" width="21.42578125" customWidth="1"/>
    <col min="3" max="3" width="5.7109375" customWidth="1"/>
    <col min="4" max="4" width="20.42578125" customWidth="1"/>
    <col min="5" max="5" width="5.7109375" customWidth="1"/>
    <col min="6" max="6" width="19.28515625" customWidth="1"/>
    <col min="7" max="7" width="5.7109375" customWidth="1"/>
    <col min="8" max="8" width="19.28515625" customWidth="1"/>
    <col min="9" max="9" width="5.7109375" customWidth="1"/>
    <col min="10" max="10" width="19.28515625" customWidth="1"/>
    <col min="11" max="11" width="5.7109375" customWidth="1"/>
    <col min="12" max="12" width="19.28515625" customWidth="1"/>
    <col min="13" max="13" width="7.7109375" style="3" customWidth="1"/>
    <col min="14" max="14" width="9.7109375" customWidth="1"/>
    <col min="15" max="15" width="32.28515625" customWidth="1"/>
    <col min="16" max="16" width="14.7109375" customWidth="1"/>
    <col min="17" max="19" width="8.7109375" customWidth="1"/>
  </cols>
  <sheetData>
    <row r="1" spans="1:21" ht="40.5" customHeight="1" x14ac:dyDescent="0.25">
      <c r="A1" s="316" t="s">
        <v>186</v>
      </c>
      <c r="B1" s="317"/>
      <c r="C1" s="317"/>
      <c r="D1" s="317"/>
      <c r="E1" s="317"/>
      <c r="F1" s="317"/>
      <c r="G1" s="317"/>
      <c r="H1" s="317"/>
      <c r="I1" s="317"/>
      <c r="J1" s="317"/>
      <c r="K1" s="317"/>
      <c r="L1" s="317"/>
      <c r="M1" s="318"/>
      <c r="N1" s="1"/>
    </row>
    <row r="2" spans="1:21" ht="21" customHeight="1" x14ac:dyDescent="0.25">
      <c r="A2" s="301" t="s">
        <v>183</v>
      </c>
      <c r="B2" s="302"/>
      <c r="C2" s="302"/>
      <c r="D2" s="302"/>
      <c r="E2" s="302"/>
      <c r="F2" s="302"/>
      <c r="G2" s="302"/>
      <c r="H2" s="302"/>
      <c r="I2" s="302"/>
      <c r="J2" s="302"/>
      <c r="K2" s="302"/>
      <c r="L2" s="302"/>
      <c r="M2" s="303"/>
      <c r="N2" s="1"/>
    </row>
    <row r="3" spans="1:21" ht="15.75" thickBot="1" x14ac:dyDescent="0.3">
      <c r="A3" s="322" t="s">
        <v>72</v>
      </c>
      <c r="B3" s="323"/>
      <c r="C3" s="324"/>
      <c r="D3" s="334"/>
      <c r="E3" s="335"/>
      <c r="F3" s="335"/>
      <c r="G3" s="335"/>
      <c r="H3" s="335"/>
      <c r="I3" s="335"/>
      <c r="J3" s="335"/>
      <c r="K3" s="335"/>
      <c r="L3" s="335"/>
      <c r="M3" s="336"/>
    </row>
    <row r="4" spans="1:21" x14ac:dyDescent="0.25">
      <c r="A4" s="325" t="s">
        <v>117</v>
      </c>
      <c r="B4" s="326"/>
      <c r="C4" s="327"/>
      <c r="D4" s="328"/>
      <c r="E4" s="329"/>
      <c r="F4" s="329"/>
      <c r="G4" s="329"/>
      <c r="H4" s="329"/>
      <c r="I4" s="329"/>
      <c r="J4" s="329"/>
      <c r="K4" s="329"/>
      <c r="L4" s="329"/>
      <c r="M4" s="330"/>
    </row>
    <row r="5" spans="1:21" x14ac:dyDescent="0.25">
      <c r="A5" s="319" t="s">
        <v>118</v>
      </c>
      <c r="B5" s="320"/>
      <c r="C5" s="321"/>
      <c r="D5" s="337"/>
      <c r="E5" s="338"/>
      <c r="F5" s="338"/>
      <c r="G5" s="338"/>
      <c r="H5" s="338"/>
      <c r="I5" s="338"/>
      <c r="J5" s="338"/>
      <c r="K5" s="338"/>
      <c r="L5" s="338"/>
      <c r="M5" s="339"/>
    </row>
    <row r="6" spans="1:21" x14ac:dyDescent="0.25">
      <c r="A6" s="319" t="s">
        <v>163</v>
      </c>
      <c r="B6" s="320"/>
      <c r="C6" s="321"/>
      <c r="D6" s="331"/>
      <c r="E6" s="332"/>
      <c r="F6" s="332"/>
      <c r="G6" s="332"/>
      <c r="H6" s="332"/>
      <c r="I6" s="332"/>
      <c r="J6" s="332"/>
      <c r="K6" s="332"/>
      <c r="L6" s="332"/>
      <c r="M6" s="333"/>
    </row>
    <row r="7" spans="1:21" x14ac:dyDescent="0.25">
      <c r="A7" s="319"/>
      <c r="B7" s="320"/>
      <c r="C7" s="321"/>
      <c r="D7" s="331"/>
      <c r="E7" s="332"/>
      <c r="F7" s="332"/>
      <c r="G7" s="332"/>
      <c r="H7" s="332"/>
      <c r="I7" s="332"/>
      <c r="J7" s="332"/>
      <c r="K7" s="332"/>
      <c r="L7" s="332"/>
      <c r="M7" s="333"/>
      <c r="U7" s="1"/>
    </row>
    <row r="8" spans="1:21" ht="18" customHeight="1" x14ac:dyDescent="0.25">
      <c r="A8" s="307" t="s">
        <v>17</v>
      </c>
      <c r="B8" s="308"/>
      <c r="C8" s="308"/>
      <c r="D8" s="308"/>
      <c r="E8" s="308"/>
      <c r="F8" s="308"/>
      <c r="G8" s="308"/>
      <c r="H8" s="308"/>
      <c r="I8" s="308"/>
      <c r="J8" s="308"/>
      <c r="K8" s="308"/>
      <c r="L8" s="308"/>
      <c r="M8" s="309"/>
      <c r="U8" s="1"/>
    </row>
    <row r="9" spans="1:21" ht="6" customHeight="1" x14ac:dyDescent="0.25">
      <c r="A9" s="310"/>
      <c r="B9" s="311"/>
      <c r="C9" s="311"/>
      <c r="D9" s="311"/>
      <c r="E9" s="311"/>
      <c r="F9" s="311"/>
      <c r="G9" s="311"/>
      <c r="H9" s="311"/>
      <c r="I9" s="311"/>
      <c r="J9" s="311"/>
      <c r="K9" s="311"/>
      <c r="L9" s="311"/>
      <c r="M9" s="312"/>
      <c r="U9" s="1"/>
    </row>
    <row r="10" spans="1:21" ht="15" customHeight="1" x14ac:dyDescent="0.25">
      <c r="A10" s="36"/>
      <c r="B10" s="38" t="s">
        <v>67</v>
      </c>
      <c r="C10" s="41"/>
      <c r="D10" s="183"/>
      <c r="E10" s="38"/>
      <c r="F10" s="183"/>
      <c r="G10" s="41"/>
      <c r="H10" s="183"/>
      <c r="I10" s="57"/>
      <c r="J10" s="183"/>
      <c r="K10" s="83"/>
      <c r="L10" s="39" t="s">
        <v>37</v>
      </c>
      <c r="M10" s="48"/>
      <c r="N10" s="1"/>
    </row>
    <row r="11" spans="1:21" ht="15" customHeight="1" x14ac:dyDescent="0.25">
      <c r="A11" s="36"/>
      <c r="B11" s="62">
        <v>0</v>
      </c>
      <c r="C11" s="41"/>
      <c r="D11" s="183"/>
      <c r="E11" s="38"/>
      <c r="F11" s="183"/>
      <c r="G11" s="38"/>
      <c r="H11" s="183"/>
      <c r="I11" s="57"/>
      <c r="J11" s="183"/>
      <c r="K11" s="41"/>
      <c r="L11" s="62">
        <v>0</v>
      </c>
      <c r="M11" s="48"/>
      <c r="N11" s="1"/>
    </row>
    <row r="12" spans="1:21" ht="15" customHeight="1" x14ac:dyDescent="0.25">
      <c r="A12" s="36"/>
      <c r="B12" s="184" t="s">
        <v>83</v>
      </c>
      <c r="C12" s="41"/>
      <c r="D12" s="38" t="s">
        <v>51</v>
      </c>
      <c r="E12" s="38"/>
      <c r="F12" s="183"/>
      <c r="G12" s="41"/>
      <c r="H12" s="183"/>
      <c r="I12" s="41"/>
      <c r="J12" s="183"/>
      <c r="K12" s="41"/>
      <c r="L12" s="38" t="s">
        <v>45</v>
      </c>
      <c r="M12" s="48"/>
      <c r="N12" s="1"/>
    </row>
    <row r="13" spans="1:21" ht="15" customHeight="1" x14ac:dyDescent="0.25">
      <c r="A13" s="36"/>
      <c r="B13" s="62" t="s">
        <v>9</v>
      </c>
      <c r="C13" s="41"/>
      <c r="D13" s="63">
        <v>0.6</v>
      </c>
      <c r="E13" s="43"/>
      <c r="F13" s="183"/>
      <c r="G13" s="41"/>
      <c r="H13" s="183"/>
      <c r="I13" s="41"/>
      <c r="J13" s="1"/>
      <c r="K13" s="41"/>
      <c r="L13" s="45">
        <f>(L11*B17)-L11</f>
        <v>0</v>
      </c>
      <c r="M13" s="48"/>
    </row>
    <row r="14" spans="1:21" s="3" customFormat="1" ht="15" customHeight="1" x14ac:dyDescent="0.25">
      <c r="A14" s="36"/>
      <c r="B14" s="37" t="s">
        <v>64</v>
      </c>
      <c r="C14" s="41"/>
      <c r="D14" s="38" t="s">
        <v>11</v>
      </c>
      <c r="E14" s="41"/>
      <c r="F14" s="2"/>
      <c r="G14" s="41"/>
      <c r="H14" s="40" t="s">
        <v>87</v>
      </c>
      <c r="I14" s="41"/>
      <c r="J14" s="38" t="s">
        <v>94</v>
      </c>
      <c r="K14" s="41"/>
      <c r="L14" s="40" t="s">
        <v>50</v>
      </c>
      <c r="M14" s="48"/>
    </row>
    <row r="15" spans="1:21" s="3" customFormat="1" ht="15" customHeight="1" x14ac:dyDescent="0.25">
      <c r="A15" s="36"/>
      <c r="B15" s="62" t="s">
        <v>18</v>
      </c>
      <c r="C15" s="41"/>
      <c r="D15" s="123">
        <f>INDEX(Parameters!A5:AK21,Parameters!AL7,Parameters!AL8)</f>
        <v>1396</v>
      </c>
      <c r="E15" s="41"/>
      <c r="F15" s="183"/>
      <c r="G15" s="41"/>
      <c r="H15" s="154" t="e">
        <f>H17/L13*100</f>
        <v>#DIV/0!</v>
      </c>
      <c r="I15" s="41"/>
      <c r="J15" s="45">
        <f>L15*D15/1000</f>
        <v>0</v>
      </c>
      <c r="K15" s="41"/>
      <c r="L15" s="45">
        <f>L11+L13</f>
        <v>0</v>
      </c>
      <c r="M15" s="48"/>
    </row>
    <row r="16" spans="1:21" s="3" customFormat="1" ht="15" customHeight="1" x14ac:dyDescent="0.25">
      <c r="A16" s="36"/>
      <c r="B16" s="184" t="s">
        <v>36</v>
      </c>
      <c r="C16" s="41"/>
      <c r="D16" s="41" t="s">
        <v>88</v>
      </c>
      <c r="E16" s="41"/>
      <c r="F16" s="39" t="s">
        <v>86</v>
      </c>
      <c r="G16" s="41"/>
      <c r="H16" s="71" t="s">
        <v>115</v>
      </c>
      <c r="I16" s="41"/>
      <c r="J16" s="71" t="s">
        <v>39</v>
      </c>
      <c r="K16" s="41"/>
      <c r="L16" s="38" t="s">
        <v>38</v>
      </c>
      <c r="M16" s="48"/>
    </row>
    <row r="17" spans="1:14" s="3" customFormat="1" ht="15" customHeight="1" x14ac:dyDescent="0.25">
      <c r="A17" s="36"/>
      <c r="B17" s="44">
        <f>INDEX(Parameters!A23:D39,Parameters!E25,Parameters!E26)</f>
        <v>1.34</v>
      </c>
      <c r="C17" s="41"/>
      <c r="D17" s="64" t="s">
        <v>84</v>
      </c>
      <c r="E17" s="41"/>
      <c r="F17" s="62">
        <v>15</v>
      </c>
      <c r="G17" s="41"/>
      <c r="H17" s="45">
        <f>L13-VLOOKUP(D17,Parameters!A42:B43,2,FALSE)</f>
        <v>0</v>
      </c>
      <c r="I17" s="41"/>
      <c r="J17" s="45">
        <f>L17*D15/1000</f>
        <v>0</v>
      </c>
      <c r="K17" s="41"/>
      <c r="L17" s="45">
        <f>L15-H17</f>
        <v>0</v>
      </c>
      <c r="M17" s="48"/>
    </row>
    <row r="18" spans="1:14" s="3" customFormat="1" ht="15" customHeight="1" x14ac:dyDescent="0.25">
      <c r="A18" s="36"/>
      <c r="B18" s="41"/>
      <c r="C18" s="41"/>
      <c r="D18" s="41"/>
      <c r="E18" s="41"/>
      <c r="F18" s="41"/>
      <c r="G18" s="46"/>
      <c r="H18" s="46"/>
      <c r="I18" s="46"/>
      <c r="J18" s="41"/>
      <c r="K18" s="41"/>
      <c r="L18" s="41"/>
      <c r="M18" s="48"/>
    </row>
    <row r="19" spans="1:14" s="3" customFormat="1" ht="18" customHeight="1" x14ac:dyDescent="0.25">
      <c r="A19" s="307" t="s">
        <v>70</v>
      </c>
      <c r="B19" s="308"/>
      <c r="C19" s="308"/>
      <c r="D19" s="308"/>
      <c r="E19" s="308"/>
      <c r="F19" s="308"/>
      <c r="G19" s="308"/>
      <c r="H19" s="308"/>
      <c r="I19" s="308"/>
      <c r="J19" s="308"/>
      <c r="K19" s="308"/>
      <c r="L19" s="308"/>
      <c r="M19" s="309"/>
      <c r="N19" s="2"/>
    </row>
    <row r="20" spans="1:14" s="3" customFormat="1" ht="15.75" customHeight="1" x14ac:dyDescent="0.25">
      <c r="A20" s="304" t="s">
        <v>140</v>
      </c>
      <c r="B20" s="305"/>
      <c r="C20" s="305"/>
      <c r="D20" s="305"/>
      <c r="E20" s="305"/>
      <c r="F20" s="305"/>
      <c r="G20" s="305"/>
      <c r="H20" s="305"/>
      <c r="I20" s="305"/>
      <c r="J20" s="305"/>
      <c r="K20" s="305"/>
      <c r="L20" s="305"/>
      <c r="M20" s="306"/>
      <c r="N20" s="2"/>
    </row>
    <row r="21" spans="1:14" s="3" customFormat="1" ht="6" customHeight="1" x14ac:dyDescent="0.25">
      <c r="A21" s="313"/>
      <c r="B21" s="314"/>
      <c r="C21" s="314"/>
      <c r="D21" s="314"/>
      <c r="E21" s="314"/>
      <c r="F21" s="314"/>
      <c r="G21" s="314"/>
      <c r="H21" s="314"/>
      <c r="I21" s="314"/>
      <c r="J21" s="314"/>
      <c r="K21" s="314"/>
      <c r="L21" s="314"/>
      <c r="M21" s="315"/>
      <c r="N21" s="2"/>
    </row>
    <row r="22" spans="1:14" s="3" customFormat="1" x14ac:dyDescent="0.25">
      <c r="A22" s="36"/>
      <c r="B22" s="184" t="s">
        <v>30</v>
      </c>
      <c r="C22" s="41"/>
      <c r="D22" s="38" t="s">
        <v>32</v>
      </c>
      <c r="E22" s="38"/>
      <c r="F22" s="139" t="s">
        <v>96</v>
      </c>
      <c r="G22" s="41"/>
      <c r="H22" s="139" t="s">
        <v>73</v>
      </c>
      <c r="I22" s="41"/>
      <c r="J22" s="138" t="s">
        <v>97</v>
      </c>
      <c r="K22" s="51"/>
      <c r="L22" s="137" t="s">
        <v>150</v>
      </c>
      <c r="M22" s="141"/>
    </row>
    <row r="23" spans="1:14" s="3" customFormat="1" x14ac:dyDescent="0.25">
      <c r="A23" s="36"/>
      <c r="B23" s="65" t="s">
        <v>24</v>
      </c>
      <c r="C23" s="185"/>
      <c r="D23" s="65" t="s">
        <v>22</v>
      </c>
      <c r="E23" s="49"/>
      <c r="F23" s="81" t="e">
        <f>L23/B11</f>
        <v>#DIV/0!</v>
      </c>
      <c r="G23" s="41"/>
      <c r="H23" s="81" t="e">
        <f>L23/H44</f>
        <v>#DIV/0!</v>
      </c>
      <c r="I23" s="41"/>
      <c r="J23" s="81">
        <f>INDEX(Parameters!A49:F55,Parameters!G51,Parameters!G52)</f>
        <v>11.1</v>
      </c>
      <c r="K23" s="51"/>
      <c r="L23" s="81">
        <f>J23*L17</f>
        <v>0</v>
      </c>
      <c r="M23" s="141"/>
    </row>
    <row r="24" spans="1:14" s="3" customFormat="1" x14ac:dyDescent="0.25">
      <c r="A24" s="52"/>
      <c r="B24" s="53" t="s">
        <v>138</v>
      </c>
      <c r="C24" s="41"/>
      <c r="D24" s="41"/>
      <c r="E24" s="41"/>
      <c r="F24" s="186"/>
      <c r="G24" s="41"/>
      <c r="H24" s="187"/>
      <c r="I24" s="41"/>
      <c r="J24" s="137"/>
      <c r="K24" s="41"/>
      <c r="L24" s="138" t="s">
        <v>148</v>
      </c>
      <c r="M24" s="142"/>
    </row>
    <row r="25" spans="1:14" x14ac:dyDescent="0.25">
      <c r="A25" s="52"/>
      <c r="B25" s="66" t="s">
        <v>46</v>
      </c>
      <c r="C25" s="185"/>
      <c r="D25" s="66" t="s">
        <v>22</v>
      </c>
      <c r="E25" s="37"/>
      <c r="F25" s="81" t="e">
        <f>L25/B11</f>
        <v>#DIV/0!</v>
      </c>
      <c r="G25" s="41"/>
      <c r="H25" s="81" t="e">
        <f>L25/H44</f>
        <v>#DIV/0!</v>
      </c>
      <c r="I25" s="41"/>
      <c r="J25" s="81">
        <f>INDEX(Parameters!A57:F62,Parameters!G59,Parameters!G60)</f>
        <v>16.45</v>
      </c>
      <c r="K25" s="41"/>
      <c r="L25" s="81">
        <f>J25*L17</f>
        <v>0</v>
      </c>
      <c r="M25" s="142"/>
      <c r="N25" s="1"/>
    </row>
    <row r="26" spans="1:14" x14ac:dyDescent="0.25">
      <c r="A26" s="52"/>
      <c r="B26" s="54" t="s">
        <v>130</v>
      </c>
      <c r="C26" s="41"/>
      <c r="D26" s="41"/>
      <c r="E26" s="41"/>
      <c r="F26" s="186"/>
      <c r="G26" s="41"/>
      <c r="H26" s="187"/>
      <c r="I26" s="41"/>
      <c r="J26" s="138"/>
      <c r="K26" s="41"/>
      <c r="L26" s="138" t="s">
        <v>147</v>
      </c>
      <c r="M26" s="142"/>
      <c r="N26" s="1"/>
    </row>
    <row r="27" spans="1:14" ht="15" customHeight="1" x14ac:dyDescent="0.25">
      <c r="A27" s="52"/>
      <c r="B27" s="62" t="s">
        <v>189</v>
      </c>
      <c r="C27" s="185"/>
      <c r="D27" s="62" t="s">
        <v>22</v>
      </c>
      <c r="E27" s="38"/>
      <c r="F27" s="81" t="e">
        <f>L27/B11</f>
        <v>#DIV/0!</v>
      </c>
      <c r="G27" s="41"/>
      <c r="H27" s="81" t="e">
        <f>L27/H44</f>
        <v>#DIV/0!</v>
      </c>
      <c r="I27" s="41"/>
      <c r="J27" s="81">
        <f>INDEX(Parameters!A64:F69,Parameters!G66,Parameters!G67)</f>
        <v>5.4249999999999998</v>
      </c>
      <c r="K27" s="41"/>
      <c r="L27" s="81">
        <f>J27*L17</f>
        <v>0</v>
      </c>
      <c r="M27" s="142"/>
      <c r="N27" s="1"/>
    </row>
    <row r="28" spans="1:14" x14ac:dyDescent="0.25">
      <c r="A28" s="52"/>
      <c r="B28" s="39" t="s">
        <v>143</v>
      </c>
      <c r="C28" s="41"/>
      <c r="D28" s="41"/>
      <c r="E28" s="41"/>
      <c r="F28" s="81"/>
      <c r="G28" s="41"/>
      <c r="H28" s="187"/>
      <c r="I28" s="41"/>
      <c r="J28" s="138"/>
      <c r="K28" s="41"/>
      <c r="L28" s="137" t="s">
        <v>149</v>
      </c>
      <c r="M28" s="142"/>
    </row>
    <row r="29" spans="1:14" x14ac:dyDescent="0.25">
      <c r="A29" s="52"/>
      <c r="B29" s="64" t="s">
        <v>185</v>
      </c>
      <c r="C29" s="185"/>
      <c r="D29" s="64" t="s">
        <v>22</v>
      </c>
      <c r="E29" s="38"/>
      <c r="F29" s="81" t="e">
        <f>L29/B11</f>
        <v>#DIV/0!</v>
      </c>
      <c r="G29" s="41"/>
      <c r="H29" s="81" t="e">
        <f>L29/H44</f>
        <v>#DIV/0!</v>
      </c>
      <c r="I29" s="41"/>
      <c r="J29" s="81">
        <f>INDEX(Parameters!A71:F73,Parameters!G72,Parameters!G73)</f>
        <v>1.925</v>
      </c>
      <c r="K29" s="41"/>
      <c r="L29" s="81">
        <f>J29*L17</f>
        <v>0</v>
      </c>
      <c r="M29" s="142"/>
      <c r="N29" s="1"/>
    </row>
    <row r="30" spans="1:14" x14ac:dyDescent="0.25">
      <c r="A30" s="52"/>
      <c r="B30" s="38" t="s">
        <v>49</v>
      </c>
      <c r="C30" s="41"/>
      <c r="D30" s="41"/>
      <c r="E30" s="41"/>
      <c r="F30" s="81"/>
      <c r="G30" s="143"/>
      <c r="H30" s="144"/>
      <c r="I30" s="143"/>
      <c r="J30" s="86"/>
      <c r="K30" s="181"/>
      <c r="L30" s="86"/>
      <c r="M30" s="142"/>
    </row>
    <row r="31" spans="1:14" x14ac:dyDescent="0.25">
      <c r="A31" s="52"/>
      <c r="B31" s="210"/>
      <c r="C31" s="41"/>
      <c r="D31" s="41"/>
      <c r="E31" s="41"/>
      <c r="F31" s="89" t="s">
        <v>96</v>
      </c>
      <c r="G31" s="143"/>
      <c r="H31" s="89" t="s">
        <v>73</v>
      </c>
      <c r="I31" s="143"/>
      <c r="J31" s="86" t="s">
        <v>98</v>
      </c>
      <c r="K31" s="181"/>
      <c r="L31" s="86" t="s">
        <v>68</v>
      </c>
      <c r="M31" s="142"/>
    </row>
    <row r="32" spans="1:14" x14ac:dyDescent="0.25">
      <c r="A32" s="52"/>
      <c r="B32" s="113"/>
      <c r="C32" s="41"/>
      <c r="D32" s="41"/>
      <c r="E32" s="41"/>
      <c r="F32" s="81" t="e">
        <f>F23+F25+F27+F29</f>
        <v>#DIV/0!</v>
      </c>
      <c r="G32" s="37"/>
      <c r="H32" s="81" t="e">
        <f>SUM((H23,H25,H27,H29))</f>
        <v>#DIV/0!</v>
      </c>
      <c r="I32" s="37"/>
      <c r="J32" s="81">
        <f>SUM(J23+J25+J27+J29)</f>
        <v>34.899999999999991</v>
      </c>
      <c r="K32" s="41"/>
      <c r="L32" s="81">
        <f>L29+L27+L25+L23+B31</f>
        <v>0</v>
      </c>
      <c r="M32" s="142"/>
    </row>
    <row r="33" spans="1:27" x14ac:dyDescent="0.25">
      <c r="A33" s="52"/>
      <c r="B33" s="38"/>
      <c r="C33" s="41"/>
      <c r="D33" s="41"/>
      <c r="E33" s="41"/>
      <c r="F33" s="38"/>
      <c r="G33" s="37"/>
      <c r="H33" s="37"/>
      <c r="I33" s="37"/>
      <c r="J33" s="41"/>
      <c r="K33" s="83"/>
      <c r="L33" s="168"/>
      <c r="M33" s="148"/>
    </row>
    <row r="34" spans="1:27" ht="15.75" x14ac:dyDescent="0.25">
      <c r="A34" s="304" t="s">
        <v>141</v>
      </c>
      <c r="B34" s="305"/>
      <c r="C34" s="305"/>
      <c r="D34" s="305"/>
      <c r="E34" s="305"/>
      <c r="F34" s="305"/>
      <c r="G34" s="305"/>
      <c r="H34" s="305"/>
      <c r="I34" s="305"/>
      <c r="J34" s="305"/>
      <c r="K34" s="305"/>
      <c r="L34" s="305"/>
      <c r="M34" s="306"/>
    </row>
    <row r="35" spans="1:27" s="170" customFormat="1" ht="6" customHeight="1" x14ac:dyDescent="0.25">
      <c r="A35" s="172"/>
      <c r="B35" s="169"/>
      <c r="C35" s="169"/>
      <c r="D35" s="169"/>
      <c r="E35" s="169"/>
      <c r="F35" s="169"/>
      <c r="G35" s="169"/>
      <c r="H35" s="169"/>
      <c r="I35" s="169"/>
      <c r="J35" s="169"/>
      <c r="K35" s="169"/>
      <c r="L35" s="169"/>
      <c r="M35" s="173"/>
      <c r="N35" s="171"/>
      <c r="O35" s="171"/>
      <c r="P35" s="171"/>
      <c r="Q35" s="171"/>
      <c r="R35" s="171"/>
      <c r="S35" s="171"/>
      <c r="T35" s="171"/>
      <c r="U35" s="171"/>
      <c r="V35" s="171"/>
      <c r="W35" s="171"/>
      <c r="X35" s="171"/>
      <c r="Y35" s="171"/>
    </row>
    <row r="36" spans="1:27" ht="15" customHeight="1" x14ac:dyDescent="0.25">
      <c r="A36" s="52"/>
      <c r="B36" s="49" t="s">
        <v>179</v>
      </c>
      <c r="C36" s="55"/>
      <c r="D36" s="38" t="s">
        <v>11</v>
      </c>
      <c r="E36" s="55"/>
      <c r="F36" s="38" t="s">
        <v>119</v>
      </c>
      <c r="H36" s="38" t="s">
        <v>121</v>
      </c>
      <c r="I36" s="55"/>
      <c r="J36" s="39" t="s">
        <v>193</v>
      </c>
      <c r="K36" s="55"/>
      <c r="L36" s="38" t="s">
        <v>10</v>
      </c>
      <c r="M36" s="142"/>
    </row>
    <row r="37" spans="1:27" ht="15" customHeight="1" x14ac:dyDescent="0.25">
      <c r="A37" s="292">
        <f>IF(B37&gt;=D13,1,0)</f>
        <v>0</v>
      </c>
      <c r="B37" s="293">
        <v>0.59</v>
      </c>
      <c r="C37" s="55"/>
      <c r="D37" s="123">
        <f>INDEX(Parameters!A5:AK21,Parameters!AL15,Parameters!AL16)</f>
        <v>1362</v>
      </c>
      <c r="E37" s="291">
        <f>IF(B27="Verwerking brandhout",1,0)</f>
        <v>0</v>
      </c>
      <c r="F37" s="62" t="s">
        <v>146</v>
      </c>
      <c r="G37" s="275"/>
      <c r="H37" s="45">
        <f>VLOOKUP(F37,Parameters!A83:B86,2,FALSE)</f>
        <v>0.80850000000000011</v>
      </c>
      <c r="I37" s="291">
        <f>IF(B27="Verwerking brandhout",0,1)</f>
        <v>1</v>
      </c>
      <c r="J37" s="62" t="s">
        <v>34</v>
      </c>
      <c r="K37" s="55"/>
      <c r="L37" s="44">
        <f>VLOOKUP(J37,Parameters!A76:B80,2,FALSE)</f>
        <v>2.46</v>
      </c>
      <c r="M37" s="142"/>
    </row>
    <row r="38" spans="1:27" x14ac:dyDescent="0.25">
      <c r="A38" s="60"/>
      <c r="C38" s="61"/>
      <c r="D38" s="61"/>
      <c r="E38" s="61"/>
      <c r="F38" s="39"/>
      <c r="G38" s="145"/>
      <c r="H38" s="145"/>
      <c r="I38" s="145"/>
      <c r="J38" s="61"/>
      <c r="K38" s="146"/>
      <c r="L38" s="147"/>
      <c r="M38" s="148"/>
    </row>
    <row r="39" spans="1:27" ht="15.75" customHeight="1" x14ac:dyDescent="0.25">
      <c r="A39" s="304" t="s">
        <v>194</v>
      </c>
      <c r="B39" s="305"/>
      <c r="C39" s="305"/>
      <c r="D39" s="305"/>
      <c r="E39" s="305"/>
      <c r="F39" s="305"/>
      <c r="G39" s="305"/>
      <c r="H39" s="305"/>
      <c r="I39" s="305"/>
      <c r="J39" s="305"/>
      <c r="K39" s="305"/>
      <c r="L39" s="305"/>
      <c r="M39" s="306"/>
      <c r="N39" s="1"/>
    </row>
    <row r="40" spans="1:27" ht="6" customHeight="1" x14ac:dyDescent="0.25">
      <c r="A40" s="313"/>
      <c r="B40" s="314"/>
      <c r="C40" s="314"/>
      <c r="D40" s="314"/>
      <c r="E40" s="314"/>
      <c r="F40" s="314"/>
      <c r="G40" s="314"/>
      <c r="H40" s="314"/>
      <c r="I40" s="314"/>
      <c r="J40" s="314"/>
      <c r="K40" s="314"/>
      <c r="L40" s="314"/>
      <c r="M40" s="315"/>
      <c r="N40" s="1"/>
    </row>
    <row r="41" spans="1:27" ht="15" customHeight="1" x14ac:dyDescent="0.25">
      <c r="A41" s="149"/>
      <c r="B41" s="39" t="s">
        <v>99</v>
      </c>
      <c r="C41" s="55"/>
      <c r="D41" s="49" t="s">
        <v>101</v>
      </c>
      <c r="E41" s="55"/>
      <c r="F41" s="49" t="s">
        <v>102</v>
      </c>
      <c r="G41" s="55"/>
      <c r="H41" s="38" t="s">
        <v>7</v>
      </c>
      <c r="I41" s="55"/>
      <c r="J41" s="38" t="s">
        <v>8</v>
      </c>
      <c r="K41" s="41"/>
      <c r="L41" s="49" t="s">
        <v>28</v>
      </c>
      <c r="M41" s="150"/>
    </row>
    <row r="42" spans="1:27" ht="15" customHeight="1" x14ac:dyDescent="0.25">
      <c r="A42" s="149"/>
      <c r="B42" s="64">
        <v>0</v>
      </c>
      <c r="C42" s="56"/>
      <c r="D42" s="50">
        <f>VLOOKUP(B46,Parameters!A89:C94,2,FALSE)</f>
        <v>1.0833333333333333</v>
      </c>
      <c r="E42" s="55"/>
      <c r="F42" s="50">
        <f>B42*D42</f>
        <v>0</v>
      </c>
      <c r="G42" s="57"/>
      <c r="H42" s="45">
        <f>(J44/D46)</f>
        <v>0</v>
      </c>
      <c r="I42" s="57"/>
      <c r="J42" s="44">
        <f>_xlfn.CEILING.PRECISE(H42)</f>
        <v>0</v>
      </c>
      <c r="K42" s="58"/>
      <c r="L42" s="50">
        <f>F42+F44</f>
        <v>0</v>
      </c>
      <c r="M42" s="151"/>
    </row>
    <row r="43" spans="1:27" ht="15" customHeight="1" x14ac:dyDescent="0.25">
      <c r="A43" s="52"/>
      <c r="B43" s="49" t="s">
        <v>100</v>
      </c>
      <c r="C43" s="55"/>
      <c r="D43" s="184" t="s">
        <v>103</v>
      </c>
      <c r="E43" s="55"/>
      <c r="F43" s="38" t="s">
        <v>27</v>
      </c>
      <c r="G43" s="41"/>
      <c r="H43" s="38" t="s">
        <v>65</v>
      </c>
      <c r="I43" s="41"/>
      <c r="J43" s="38" t="str">
        <f>VLOOKUP(B27,Parameters!A65:O69,9,FALSE)</f>
        <v>Verchipt volume (bulk m³)</v>
      </c>
      <c r="K43" s="41"/>
      <c r="L43" s="38"/>
      <c r="M43" s="151"/>
    </row>
    <row r="44" spans="1:27" ht="15" customHeight="1" x14ac:dyDescent="0.25">
      <c r="A44" s="52"/>
      <c r="B44" s="65">
        <v>0</v>
      </c>
      <c r="C44" s="55"/>
      <c r="D44" s="50">
        <f>Parameters!B98</f>
        <v>0.58333333333333337</v>
      </c>
      <c r="E44" s="55"/>
      <c r="F44" s="50">
        <f>B44*D44</f>
        <v>0</v>
      </c>
      <c r="G44" s="41"/>
      <c r="H44" s="45">
        <f>L17*D37/1000</f>
        <v>0</v>
      </c>
      <c r="I44" s="41"/>
      <c r="J44" s="45">
        <f>VLOOKUP(B27,Parameters!A65:O69,10,FALSE)</f>
        <v>0</v>
      </c>
      <c r="K44" s="83"/>
      <c r="L44" s="50"/>
      <c r="M44" s="151"/>
    </row>
    <row r="45" spans="1:27" ht="15" customHeight="1" x14ac:dyDescent="0.25">
      <c r="A45" s="52"/>
      <c r="B45" s="49" t="s">
        <v>26</v>
      </c>
      <c r="C45" s="55"/>
      <c r="D45" s="40" t="s">
        <v>107</v>
      </c>
      <c r="E45" s="55"/>
      <c r="F45" s="41"/>
      <c r="G45" s="41"/>
      <c r="H45" s="41"/>
      <c r="I45" s="41"/>
      <c r="J45" s="83"/>
      <c r="K45" s="41"/>
      <c r="L45" s="41"/>
      <c r="M45" s="151"/>
      <c r="O45" s="140"/>
    </row>
    <row r="46" spans="1:27" ht="15" customHeight="1" x14ac:dyDescent="0.25">
      <c r="A46" s="52"/>
      <c r="B46" s="64" t="s">
        <v>109</v>
      </c>
      <c r="C46" s="42"/>
      <c r="D46" s="82">
        <f>VLOOKUP(B46,Parameters!A89:C94,3,FALSE)</f>
        <v>60</v>
      </c>
      <c r="E46" s="41"/>
      <c r="F46" s="41"/>
      <c r="G46" s="59"/>
      <c r="H46" s="89" t="s">
        <v>73</v>
      </c>
      <c r="I46" s="85"/>
      <c r="J46" s="84" t="s">
        <v>98</v>
      </c>
      <c r="K46" s="41"/>
      <c r="L46" s="86" t="s">
        <v>66</v>
      </c>
      <c r="M46" s="92"/>
      <c r="O46" s="140"/>
    </row>
    <row r="47" spans="1:27" ht="15" customHeight="1" x14ac:dyDescent="0.25">
      <c r="A47" s="52"/>
      <c r="B47" s="41"/>
      <c r="C47" s="41"/>
      <c r="D47" s="90"/>
      <c r="E47" s="41"/>
      <c r="F47" s="188"/>
      <c r="G47" s="85"/>
      <c r="H47" s="122" t="e">
        <f>L47/H44</f>
        <v>#DIV/0!</v>
      </c>
      <c r="I47" s="88"/>
      <c r="J47" s="87" t="e">
        <f>L47/L17</f>
        <v>#DIV/0!</v>
      </c>
      <c r="K47" s="41"/>
      <c r="L47" s="81">
        <f>L42*J42</f>
        <v>0</v>
      </c>
      <c r="M47" s="92"/>
    </row>
    <row r="48" spans="1:27" ht="15" customHeight="1" x14ac:dyDescent="0.25">
      <c r="A48" s="52"/>
      <c r="B48" s="38"/>
      <c r="C48" s="41"/>
      <c r="D48" s="41"/>
      <c r="E48" s="41"/>
      <c r="F48" s="41"/>
      <c r="G48" s="145"/>
      <c r="H48" s="145"/>
      <c r="I48" s="145"/>
      <c r="J48" s="152"/>
      <c r="K48" s="41"/>
      <c r="L48" s="41"/>
      <c r="M48" s="48"/>
      <c r="N48" s="1"/>
      <c r="O48" s="3"/>
      <c r="P48" s="47"/>
      <c r="Q48" s="47"/>
      <c r="R48" s="47"/>
      <c r="S48" s="95"/>
      <c r="T48" s="96"/>
      <c r="U48" s="3"/>
      <c r="V48" s="96"/>
      <c r="W48" s="97"/>
      <c r="X48" s="3"/>
      <c r="Y48" s="3"/>
      <c r="Z48" s="3"/>
      <c r="AA48" s="3"/>
    </row>
    <row r="49" spans="1:27" ht="15" customHeight="1" x14ac:dyDescent="0.25">
      <c r="A49" s="304" t="s">
        <v>195</v>
      </c>
      <c r="B49" s="305"/>
      <c r="C49" s="305"/>
      <c r="D49" s="305"/>
      <c r="E49" s="305"/>
      <c r="F49" s="305"/>
      <c r="G49" s="305"/>
      <c r="H49" s="305"/>
      <c r="I49" s="305"/>
      <c r="J49" s="305"/>
      <c r="K49" s="305"/>
      <c r="L49" s="305"/>
      <c r="M49" s="306"/>
      <c r="N49" s="1"/>
      <c r="O49" s="3"/>
      <c r="P49" s="3"/>
      <c r="Q49" s="97"/>
      <c r="R49" s="94"/>
      <c r="S49" s="3"/>
      <c r="T49" s="3"/>
      <c r="U49" s="3"/>
      <c r="V49" s="3"/>
      <c r="W49" s="3"/>
      <c r="X49" s="3"/>
      <c r="Y49" s="3"/>
      <c r="Z49" s="3"/>
      <c r="AA49" s="3"/>
    </row>
    <row r="50" spans="1:27" ht="6" customHeight="1" x14ac:dyDescent="0.25">
      <c r="A50" s="310"/>
      <c r="B50" s="311"/>
      <c r="C50" s="311"/>
      <c r="D50" s="311"/>
      <c r="E50" s="311"/>
      <c r="F50" s="311"/>
      <c r="G50" s="311"/>
      <c r="H50" s="311"/>
      <c r="I50" s="311"/>
      <c r="J50" s="311"/>
      <c r="K50" s="311"/>
      <c r="L50" s="311"/>
      <c r="M50" s="312"/>
      <c r="N50" s="1"/>
      <c r="O50" s="3"/>
      <c r="P50" s="3"/>
      <c r="Q50" s="3"/>
      <c r="R50" s="3"/>
      <c r="S50" s="3"/>
      <c r="T50" s="3"/>
      <c r="U50" s="3"/>
      <c r="V50" s="3"/>
      <c r="W50" s="3"/>
      <c r="X50" s="3"/>
      <c r="Y50" s="3"/>
      <c r="Z50" s="3"/>
      <c r="AA50" s="3"/>
    </row>
    <row r="51" spans="1:27" ht="15" customHeight="1" x14ac:dyDescent="0.25">
      <c r="A51" s="166"/>
      <c r="B51" s="39" t="s">
        <v>199</v>
      </c>
      <c r="C51" s="183"/>
      <c r="D51" s="183"/>
      <c r="E51" s="183"/>
      <c r="F51" s="183"/>
      <c r="G51" s="183"/>
      <c r="H51" s="174" t="s">
        <v>124</v>
      </c>
      <c r="I51" s="189"/>
      <c r="J51" s="190" t="s">
        <v>98</v>
      </c>
      <c r="K51" s="183"/>
      <c r="L51" s="86" t="s">
        <v>171</v>
      </c>
      <c r="M51" s="167"/>
      <c r="N51" s="1"/>
      <c r="O51" s="3"/>
      <c r="P51" s="3"/>
      <c r="Q51" s="3"/>
      <c r="R51" s="3"/>
      <c r="S51" s="3"/>
      <c r="T51" s="3"/>
      <c r="U51" s="3"/>
      <c r="V51" s="3"/>
      <c r="W51" s="3"/>
      <c r="X51" s="3"/>
      <c r="Y51" s="3"/>
      <c r="Z51" s="3"/>
      <c r="AA51" s="3"/>
    </row>
    <row r="52" spans="1:27" ht="15" customHeight="1" x14ac:dyDescent="0.25">
      <c r="A52" s="166"/>
      <c r="B52" s="64" t="s">
        <v>142</v>
      </c>
      <c r="C52" s="183"/>
      <c r="D52" s="183"/>
      <c r="E52" s="183"/>
      <c r="F52" s="183"/>
      <c r="G52" s="183"/>
      <c r="H52" s="175">
        <f>VLOOKUP(B52,Parameters!A101:B102,2,FALSE)</f>
        <v>0</v>
      </c>
      <c r="I52" s="189"/>
      <c r="J52" s="191" t="e">
        <f>L52/L17</f>
        <v>#DIV/0!</v>
      </c>
      <c r="K52" s="183"/>
      <c r="L52" s="81">
        <f>H52*H44</f>
        <v>0</v>
      </c>
      <c r="M52" s="167"/>
      <c r="N52" s="1"/>
      <c r="O52" s="3"/>
      <c r="P52" s="3"/>
      <c r="Q52" s="3"/>
      <c r="R52" s="3"/>
      <c r="S52" s="3"/>
      <c r="T52" s="3"/>
      <c r="U52" s="3"/>
      <c r="V52" s="3"/>
      <c r="W52" s="3"/>
      <c r="X52" s="3"/>
      <c r="Y52" s="3"/>
      <c r="Z52" s="3"/>
      <c r="AA52" s="3"/>
    </row>
    <row r="53" spans="1:27" ht="15" customHeight="1" x14ac:dyDescent="0.25">
      <c r="A53" s="166"/>
      <c r="B53" s="183"/>
      <c r="C53" s="183"/>
      <c r="D53" s="183"/>
      <c r="E53" s="183"/>
      <c r="F53" s="183"/>
      <c r="G53" s="183"/>
      <c r="H53" s="189"/>
      <c r="I53" s="189"/>
      <c r="J53" s="189"/>
      <c r="K53" s="183"/>
      <c r="L53" s="183"/>
      <c r="M53" s="167"/>
      <c r="N53" s="1"/>
      <c r="O53" s="3"/>
      <c r="P53" s="3"/>
      <c r="Q53" s="3"/>
      <c r="R53" s="3"/>
      <c r="S53" s="3"/>
      <c r="T53" s="3"/>
      <c r="U53" s="3"/>
      <c r="V53" s="3"/>
      <c r="W53" s="3"/>
      <c r="X53" s="3"/>
      <c r="Y53" s="3"/>
      <c r="Z53" s="3"/>
      <c r="AA53" s="3"/>
    </row>
    <row r="54" spans="1:27" s="2" customFormat="1" ht="18.75" customHeight="1" x14ac:dyDescent="0.25">
      <c r="A54" s="307" t="s">
        <v>198</v>
      </c>
      <c r="B54" s="308"/>
      <c r="C54" s="308"/>
      <c r="D54" s="308"/>
      <c r="E54" s="308"/>
      <c r="F54" s="308"/>
      <c r="G54" s="308"/>
      <c r="H54" s="308"/>
      <c r="I54" s="308"/>
      <c r="J54" s="308"/>
      <c r="K54" s="308"/>
      <c r="L54" s="308"/>
      <c r="M54" s="309"/>
      <c r="N54" s="182"/>
      <c r="O54" s="182"/>
    </row>
    <row r="55" spans="1:27" ht="6" customHeight="1" x14ac:dyDescent="0.25">
      <c r="A55" s="52"/>
      <c r="B55" s="183"/>
      <c r="C55" s="41"/>
      <c r="D55" s="183"/>
      <c r="E55" s="41"/>
      <c r="F55" s="183"/>
      <c r="G55" s="41"/>
      <c r="H55" s="183"/>
      <c r="I55" s="41"/>
      <c r="J55" s="183"/>
      <c r="K55" s="91"/>
      <c r="L55" s="183"/>
      <c r="M55" s="92"/>
      <c r="N55" s="1"/>
    </row>
    <row r="56" spans="1:27" ht="15" customHeight="1" x14ac:dyDescent="0.25">
      <c r="A56" s="52"/>
      <c r="C56" s="183"/>
      <c r="D56" s="277" t="s">
        <v>136</v>
      </c>
      <c r="E56" s="275"/>
      <c r="F56" s="190" t="s">
        <v>96</v>
      </c>
      <c r="G56" s="276"/>
      <c r="H56" s="190" t="str">
        <f>VLOOKUP($B$27,Parameters!$A$65:$O$69,15,FALSE)</f>
        <v>Euro/ton</v>
      </c>
      <c r="I56" s="272"/>
      <c r="J56" s="190" t="s">
        <v>98</v>
      </c>
      <c r="K56" s="93"/>
      <c r="L56" s="190" t="s">
        <v>180</v>
      </c>
      <c r="M56" s="92"/>
      <c r="N56" s="1"/>
    </row>
    <row r="57" spans="1:27" ht="15" customHeight="1" x14ac:dyDescent="0.25">
      <c r="A57" s="52"/>
      <c r="B57" s="192" t="s">
        <v>131</v>
      </c>
      <c r="C57" s="183"/>
      <c r="D57" s="278"/>
      <c r="E57" s="275"/>
      <c r="F57" s="191" t="e">
        <f>L57/B11</f>
        <v>#DIV/0!</v>
      </c>
      <c r="G57" s="183"/>
      <c r="H57" s="191">
        <f>VLOOKUP(B27,Parameters!A65:O69,14,FALSE)</f>
        <v>22</v>
      </c>
      <c r="I57" s="273"/>
      <c r="J57" s="191" t="e">
        <f>L57/L17</f>
        <v>#DIV/0!</v>
      </c>
      <c r="K57" s="93"/>
      <c r="L57" s="81">
        <f>B59*H57</f>
        <v>0</v>
      </c>
      <c r="M57" s="92"/>
      <c r="N57" s="1"/>
    </row>
    <row r="58" spans="1:27" ht="15" customHeight="1" x14ac:dyDescent="0.25">
      <c r="A58" s="52"/>
      <c r="B58" s="193" t="str">
        <f>VLOOKUP(B27,Parameters!A65:O69,11,FALSE)</f>
        <v>Houtsnippers</v>
      </c>
      <c r="C58" s="193"/>
      <c r="D58" s="279" t="s">
        <v>135</v>
      </c>
      <c r="E58" s="275"/>
      <c r="F58" s="190" t="s">
        <v>96</v>
      </c>
      <c r="G58" s="276"/>
      <c r="H58" s="190" t="str">
        <f>VLOOKUP($B$27,Parameters!$A$65:$O$69,15,FALSE)</f>
        <v>Euro/ton</v>
      </c>
      <c r="I58" s="271"/>
      <c r="J58" s="86" t="s">
        <v>98</v>
      </c>
      <c r="K58" s="183"/>
      <c r="L58" s="190" t="s">
        <v>181</v>
      </c>
      <c r="M58" s="92"/>
      <c r="N58" s="1"/>
    </row>
    <row r="59" spans="1:27" ht="15" customHeight="1" x14ac:dyDescent="0.25">
      <c r="A59" s="52"/>
      <c r="B59" s="194">
        <f>VLOOKUP(B27,Parameters!A65:O69,12,FALSE)</f>
        <v>0</v>
      </c>
      <c r="C59" s="183"/>
      <c r="D59" s="278"/>
      <c r="E59" s="275"/>
      <c r="F59" s="191" t="e">
        <f>L59/B11</f>
        <v>#DIV/0!</v>
      </c>
      <c r="G59" s="183"/>
      <c r="H59" s="191" t="e">
        <f>L59/B59</f>
        <v>#DIV/0!</v>
      </c>
      <c r="I59" s="274"/>
      <c r="J59" s="191" t="e">
        <f>L59/L17</f>
        <v>#DIV/0!</v>
      </c>
      <c r="K59" s="183"/>
      <c r="L59" s="191">
        <f>L32+L47+L52</f>
        <v>0</v>
      </c>
      <c r="M59" s="92"/>
      <c r="N59" s="1"/>
    </row>
    <row r="60" spans="1:27" ht="15" customHeight="1" x14ac:dyDescent="0.25">
      <c r="A60" s="52"/>
      <c r="B60" s="193" t="str">
        <f>VLOOKUP(B27,Parameters!A65:O69,13,FALSE)</f>
        <v>ton</v>
      </c>
      <c r="C60" s="183"/>
      <c r="D60" s="277" t="s">
        <v>69</v>
      </c>
      <c r="E60" s="275"/>
      <c r="F60" s="190" t="s">
        <v>96</v>
      </c>
      <c r="G60" s="276"/>
      <c r="H60" s="190" t="str">
        <f>VLOOKUP($B$27,Parameters!$A$65:$O$69,15,FALSE)</f>
        <v>Euro/ton</v>
      </c>
      <c r="I60" s="274"/>
      <c r="J60" s="86" t="s">
        <v>137</v>
      </c>
      <c r="K60" s="183"/>
      <c r="L60" s="190" t="s">
        <v>182</v>
      </c>
      <c r="M60" s="92"/>
      <c r="N60" s="1"/>
    </row>
    <row r="61" spans="1:27" ht="15" customHeight="1" x14ac:dyDescent="0.25">
      <c r="A61" s="52"/>
      <c r="B61" s="193"/>
      <c r="C61" s="183"/>
      <c r="D61" s="183"/>
      <c r="E61" s="275"/>
      <c r="F61" s="280" t="e">
        <f>L61/B11</f>
        <v>#DIV/0!</v>
      </c>
      <c r="G61" s="275"/>
      <c r="H61" s="195" t="e">
        <f>L61/B59</f>
        <v>#DIV/0!</v>
      </c>
      <c r="I61" s="274"/>
      <c r="J61" s="175" t="e">
        <f>L61/L17</f>
        <v>#DIV/0!</v>
      </c>
      <c r="K61" s="183"/>
      <c r="L61" s="175">
        <f>L57-L59</f>
        <v>0</v>
      </c>
      <c r="M61" s="92"/>
      <c r="N61" s="1"/>
    </row>
    <row r="62" spans="1:27" ht="15" customHeight="1" x14ac:dyDescent="0.25">
      <c r="A62" s="52"/>
      <c r="B62" s="41"/>
      <c r="C62" s="41"/>
      <c r="D62" s="41"/>
      <c r="E62" s="41"/>
      <c r="F62" s="41"/>
      <c r="G62" s="41"/>
      <c r="H62" s="41"/>
      <c r="I62" s="41"/>
      <c r="J62" s="41"/>
      <c r="K62" s="41"/>
      <c r="L62" s="41"/>
      <c r="M62" s="92"/>
      <c r="N62" s="1"/>
    </row>
    <row r="63" spans="1:27" s="2" customFormat="1" ht="18.75" customHeight="1" x14ac:dyDescent="0.25">
      <c r="A63" s="307" t="s">
        <v>139</v>
      </c>
      <c r="B63" s="308"/>
      <c r="C63" s="308"/>
      <c r="D63" s="308"/>
      <c r="E63" s="308"/>
      <c r="F63" s="308"/>
      <c r="G63" s="308"/>
      <c r="H63" s="308"/>
      <c r="I63" s="308"/>
      <c r="J63" s="308"/>
      <c r="K63" s="308"/>
      <c r="L63" s="308"/>
      <c r="M63" s="309"/>
      <c r="N63" s="201"/>
      <c r="O63" s="182"/>
    </row>
    <row r="64" spans="1:27" s="3" customFormat="1" x14ac:dyDescent="0.25">
      <c r="A64" s="52"/>
      <c r="B64" s="41"/>
      <c r="C64" s="41"/>
      <c r="D64" s="41"/>
      <c r="E64" s="41"/>
      <c r="F64" s="41"/>
      <c r="G64" s="41"/>
      <c r="H64" s="41"/>
      <c r="I64" s="41"/>
      <c r="J64" s="41"/>
      <c r="K64" s="41"/>
      <c r="L64" s="41"/>
      <c r="M64" s="48"/>
      <c r="O64"/>
    </row>
    <row r="65" spans="1:15" s="3" customFormat="1" x14ac:dyDescent="0.25">
      <c r="A65" s="52"/>
      <c r="B65" s="41"/>
      <c r="C65" s="41"/>
      <c r="D65" s="41"/>
      <c r="E65" s="41"/>
      <c r="F65" s="41"/>
      <c r="G65" s="41"/>
      <c r="H65" s="41"/>
      <c r="I65" s="41"/>
      <c r="J65" s="41"/>
      <c r="K65" s="41"/>
      <c r="L65" s="41"/>
      <c r="M65" s="48"/>
      <c r="N65" s="2"/>
      <c r="O65"/>
    </row>
    <row r="66" spans="1:15" s="3" customFormat="1" x14ac:dyDescent="0.25">
      <c r="A66" s="52"/>
      <c r="B66" s="41"/>
      <c r="C66" s="41"/>
      <c r="D66" s="41"/>
      <c r="E66" s="41"/>
      <c r="F66" s="41"/>
      <c r="G66" s="41"/>
      <c r="H66" s="41"/>
      <c r="I66" s="41"/>
      <c r="J66" s="41"/>
      <c r="K66" s="41"/>
      <c r="L66" s="41"/>
      <c r="M66" s="48"/>
      <c r="N66" s="2"/>
      <c r="O66"/>
    </row>
    <row r="67" spans="1:15" s="3" customFormat="1" ht="18.75" customHeight="1" x14ac:dyDescent="0.25">
      <c r="A67" s="52"/>
      <c r="B67" s="41"/>
      <c r="C67" s="41"/>
      <c r="D67" s="41"/>
      <c r="E67" s="41"/>
      <c r="F67" s="41"/>
      <c r="G67" s="41"/>
      <c r="H67" s="41"/>
      <c r="I67" s="41"/>
      <c r="J67" s="41"/>
      <c r="K67" s="41"/>
      <c r="L67" s="41"/>
      <c r="M67" s="48"/>
      <c r="N67" s="2"/>
      <c r="O67"/>
    </row>
    <row r="68" spans="1:15" ht="18.75" x14ac:dyDescent="0.25">
      <c r="A68" s="52"/>
      <c r="B68" s="41"/>
      <c r="C68" s="41"/>
      <c r="D68" s="41"/>
      <c r="E68" s="41"/>
      <c r="F68" s="41"/>
      <c r="G68" s="41"/>
      <c r="H68" s="41"/>
      <c r="I68" s="41"/>
      <c r="J68" s="41"/>
      <c r="K68" s="41"/>
      <c r="L68" s="41"/>
      <c r="M68" s="92"/>
      <c r="N68" s="1"/>
    </row>
    <row r="69" spans="1:15" ht="18.75" customHeight="1" x14ac:dyDescent="0.25">
      <c r="A69" s="52"/>
      <c r="B69" s="41"/>
      <c r="C69" s="41"/>
      <c r="D69" s="41"/>
      <c r="E69" s="41"/>
      <c r="F69" s="41"/>
      <c r="G69" s="41"/>
      <c r="H69" s="41"/>
      <c r="I69" s="41"/>
      <c r="J69" s="41"/>
      <c r="K69" s="41"/>
      <c r="L69" s="41"/>
      <c r="M69" s="48"/>
      <c r="N69" s="1"/>
    </row>
    <row r="70" spans="1:15" ht="16.5" customHeight="1" x14ac:dyDescent="0.25">
      <c r="A70" s="52"/>
      <c r="B70" s="41"/>
      <c r="C70" s="41"/>
      <c r="D70" s="41"/>
      <c r="E70" s="41"/>
      <c r="F70" s="41"/>
      <c r="G70" s="41"/>
      <c r="H70" s="41"/>
      <c r="I70" s="41"/>
      <c r="J70" s="41"/>
      <c r="K70" s="41"/>
      <c r="L70" s="41"/>
      <c r="M70" s="48"/>
      <c r="N70" s="1"/>
    </row>
    <row r="71" spans="1:15" ht="18.75" x14ac:dyDescent="0.25">
      <c r="A71" s="52"/>
      <c r="B71" s="41"/>
      <c r="C71" s="41"/>
      <c r="D71" s="41"/>
      <c r="E71" s="41"/>
      <c r="F71" s="41"/>
      <c r="G71" s="41"/>
      <c r="H71" s="41"/>
      <c r="I71" s="41"/>
      <c r="J71" s="41"/>
      <c r="K71" s="41"/>
      <c r="L71" s="41"/>
      <c r="M71" s="92"/>
      <c r="N71" s="1"/>
    </row>
    <row r="72" spans="1:15" ht="18.75" x14ac:dyDescent="0.25">
      <c r="A72" s="52"/>
      <c r="B72" s="41"/>
      <c r="C72" s="41"/>
      <c r="D72" s="41"/>
      <c r="E72" s="41"/>
      <c r="F72" s="41"/>
      <c r="G72" s="41"/>
      <c r="H72" s="41"/>
      <c r="I72" s="41"/>
      <c r="J72" s="41"/>
      <c r="K72" s="41"/>
      <c r="L72" s="41"/>
      <c r="M72" s="92"/>
      <c r="N72" s="1"/>
    </row>
    <row r="73" spans="1:15" ht="18.75" x14ac:dyDescent="0.25">
      <c r="A73" s="52"/>
      <c r="B73" s="41"/>
      <c r="C73" s="41"/>
      <c r="D73" s="41"/>
      <c r="E73" s="41"/>
      <c r="F73" s="41"/>
      <c r="G73" s="41"/>
      <c r="H73" s="41"/>
      <c r="I73" s="41"/>
      <c r="J73" s="41"/>
      <c r="K73" s="41"/>
      <c r="L73" s="41"/>
      <c r="M73" s="92"/>
      <c r="N73" s="1"/>
    </row>
    <row r="74" spans="1:15" x14ac:dyDescent="0.25">
      <c r="A74" s="52"/>
      <c r="B74" s="41"/>
      <c r="C74" s="41"/>
      <c r="D74" s="41"/>
      <c r="E74" s="41"/>
      <c r="F74" s="41"/>
      <c r="G74" s="41"/>
      <c r="H74" s="41"/>
      <c r="I74" s="41"/>
      <c r="J74" s="41"/>
      <c r="K74" s="41"/>
      <c r="L74" s="41"/>
      <c r="M74" s="48"/>
      <c r="N74" s="1"/>
    </row>
    <row r="75" spans="1:15" ht="30" customHeight="1" thickBot="1" x14ac:dyDescent="0.3">
      <c r="A75" s="298"/>
      <c r="B75" s="299"/>
      <c r="C75" s="299"/>
      <c r="D75" s="299"/>
      <c r="E75" s="299"/>
      <c r="F75" s="299"/>
      <c r="G75" s="299"/>
      <c r="H75" s="299"/>
      <c r="I75" s="299"/>
      <c r="J75" s="299"/>
      <c r="K75" s="299"/>
      <c r="L75" s="299"/>
      <c r="M75" s="300"/>
      <c r="N75" s="1"/>
    </row>
    <row r="76" spans="1:15" ht="18.75" x14ac:dyDescent="0.3">
      <c r="M76" s="13"/>
      <c r="N76" s="1"/>
    </row>
    <row r="77" spans="1:15" x14ac:dyDescent="0.25">
      <c r="M77" s="2"/>
      <c r="N77" s="1"/>
    </row>
    <row r="78" spans="1:15" x14ac:dyDescent="0.25">
      <c r="M78" s="2"/>
      <c r="N78" s="1"/>
    </row>
    <row r="79" spans="1:15" x14ac:dyDescent="0.25">
      <c r="M79" s="2"/>
      <c r="N79" s="1"/>
    </row>
    <row r="80" spans="1:15" x14ac:dyDescent="0.25">
      <c r="N80" s="1"/>
    </row>
    <row r="81" spans="14:14" x14ac:dyDescent="0.25">
      <c r="N81" s="1"/>
    </row>
    <row r="82" spans="14:14" x14ac:dyDescent="0.25">
      <c r="N82" s="1"/>
    </row>
    <row r="83" spans="14:14" x14ac:dyDescent="0.25">
      <c r="N83" s="1"/>
    </row>
    <row r="84" spans="14:14" x14ac:dyDescent="0.25">
      <c r="N84" s="1"/>
    </row>
    <row r="85" spans="14:14" x14ac:dyDescent="0.25">
      <c r="N85" s="1"/>
    </row>
    <row r="86" spans="14:14" x14ac:dyDescent="0.25">
      <c r="N86" s="1"/>
    </row>
    <row r="87" spans="14:14" x14ac:dyDescent="0.25">
      <c r="N87" s="1"/>
    </row>
    <row r="88" spans="14:14" x14ac:dyDescent="0.25">
      <c r="N88" s="1"/>
    </row>
    <row r="89" spans="14:14" x14ac:dyDescent="0.25">
      <c r="N89" s="1"/>
    </row>
    <row r="90" spans="14:14" x14ac:dyDescent="0.25">
      <c r="N90" s="1"/>
    </row>
    <row r="91" spans="14:14" x14ac:dyDescent="0.25">
      <c r="N91" s="1"/>
    </row>
  </sheetData>
  <sheetProtection password="E0F0" sheet="1" objects="1" scenarios="1"/>
  <dataConsolidate/>
  <mergeCells count="25">
    <mergeCell ref="A1:M1"/>
    <mergeCell ref="A6:C6"/>
    <mergeCell ref="A7:C7"/>
    <mergeCell ref="A3:C3"/>
    <mergeCell ref="A4:C4"/>
    <mergeCell ref="D4:M4"/>
    <mergeCell ref="D6:M6"/>
    <mergeCell ref="D3:M3"/>
    <mergeCell ref="D7:M7"/>
    <mergeCell ref="A5:C5"/>
    <mergeCell ref="D5:M5"/>
    <mergeCell ref="A75:M75"/>
    <mergeCell ref="A2:M2"/>
    <mergeCell ref="A20:M20"/>
    <mergeCell ref="A39:M39"/>
    <mergeCell ref="A8:M8"/>
    <mergeCell ref="A63:M63"/>
    <mergeCell ref="A50:M50"/>
    <mergeCell ref="A40:M40"/>
    <mergeCell ref="A21:M21"/>
    <mergeCell ref="A49:M49"/>
    <mergeCell ref="A19:M19"/>
    <mergeCell ref="A9:M9"/>
    <mergeCell ref="A34:M34"/>
    <mergeCell ref="A54:M54"/>
  </mergeCells>
  <pageMargins left="0.7" right="0.7" top="0.75" bottom="0.75" header="0.3" footer="0.3"/>
  <pageSetup paperSize="8" scale="76"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5" id="{D4EF5129-8BDB-4F97-BD57-52FC80BA4AEA}">
            <x14:iconSet custom="1">
              <x14:cfvo type="percent">
                <xm:f>0</xm:f>
              </x14:cfvo>
              <x14:cfvo type="num">
                <xm:f>0</xm:f>
              </x14:cfvo>
              <x14:cfvo type="num">
                <xm:f>1</xm:f>
              </x14:cfvo>
              <x14:cfIcon iconSet="NoIcons" iconId="0"/>
              <x14:cfIcon iconSet="3TrafficLights1" iconId="1"/>
              <x14:cfIcon iconSet="3TrafficLights1" iconId="2"/>
            </x14:iconSet>
          </x14:cfRule>
          <xm:sqref>D76</xm:sqref>
        </x14:conditionalFormatting>
        <x14:conditionalFormatting xmlns:xm="http://schemas.microsoft.com/office/excel/2006/main">
          <x14:cfRule type="iconSet" priority="3" id="{3B76D254-F2AD-4AF6-91EC-57A0AEF4CE2B}">
            <x14:iconSet iconSet="3Symbols2" showValue="0" custom="1">
              <x14:cfvo type="percent">
                <xm:f>0</xm:f>
              </x14:cfvo>
              <x14:cfvo type="num" gte="0">
                <xm:f>0</xm:f>
              </x14:cfvo>
              <x14:cfvo type="num">
                <xm:f>1</xm:f>
              </x14:cfvo>
              <x14:cfIcon iconSet="NoIcons" iconId="0"/>
              <x14:cfIcon iconSet="NoIcons" iconId="0"/>
              <x14:cfIcon iconSet="3Symbols2" iconId="1"/>
            </x14:iconSet>
          </x14:cfRule>
          <xm:sqref>E37</xm:sqref>
        </x14:conditionalFormatting>
        <x14:conditionalFormatting xmlns:xm="http://schemas.microsoft.com/office/excel/2006/main">
          <x14:cfRule type="iconSet" priority="2" id="{55D9B57C-8E05-48BD-BB42-607529968E94}">
            <x14:iconSet iconSet="3Symbols2" showValue="0" custom="1">
              <x14:cfvo type="percent">
                <xm:f>0</xm:f>
              </x14:cfvo>
              <x14:cfvo type="num">
                <xm:f>0</xm:f>
              </x14:cfvo>
              <x14:cfvo type="num">
                <xm:f>1</xm:f>
              </x14:cfvo>
              <x14:cfIcon iconSet="NoIcons" iconId="0"/>
              <x14:cfIcon iconSet="NoIcons" iconId="0"/>
              <x14:cfIcon iconSet="3Symbols2" iconId="1"/>
            </x14:iconSet>
          </x14:cfRule>
          <xm:sqref>I37</xm:sqref>
        </x14:conditionalFormatting>
        <x14:conditionalFormatting xmlns:xm="http://schemas.microsoft.com/office/excel/2006/main">
          <x14:cfRule type="iconSet" priority="1" id="{30D93944-A3BE-40D3-B4FE-0686D9632340}">
            <x14:iconSet iconSet="3Symbols2" showValue="0" custom="1">
              <x14:cfvo type="percent">
                <xm:f>0</xm:f>
              </x14:cfvo>
              <x14:cfvo type="percent" gte="0">
                <xm:f>0</xm:f>
              </x14:cfvo>
              <x14:cfvo type="num">
                <xm:f>1</xm:f>
              </x14:cfvo>
              <x14:cfIcon iconSet="NoIcons" iconId="0"/>
              <x14:cfIcon iconSet="NoIcons" iconId="0"/>
              <x14:cfIcon iconSet="3Symbols2" iconId="1"/>
            </x14:iconSet>
          </x14:cfRule>
          <xm:sqref>A37</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14:formula1>
            <xm:f>Parameters!$A$101:$A$102</xm:f>
          </x14:formula1>
          <xm:sqref>B52</xm:sqref>
        </x14:dataValidation>
        <x14:dataValidation type="list" allowBlank="1" showInputMessage="1" showErrorMessage="1">
          <x14:formula1>
            <xm:f>Parameters!$A$89:$A$94</xm:f>
          </x14:formula1>
          <xm:sqref>B46</xm:sqref>
        </x14:dataValidation>
        <x14:dataValidation type="list" allowBlank="1" showInputMessage="1" showErrorMessage="1">
          <x14:formula1>
            <xm:f>Parameters!$A$76:$A$80</xm:f>
          </x14:formula1>
          <xm:sqref>J37</xm:sqref>
        </x14:dataValidation>
        <x14:dataValidation type="list" allowBlank="1" showInputMessage="1" showErrorMessage="1">
          <x14:formula1>
            <xm:f>Parameters!$A$58:$A$62</xm:f>
          </x14:formula1>
          <xm:sqref>B25</xm:sqref>
        </x14:dataValidation>
        <x14:dataValidation type="list" allowBlank="1" showInputMessage="1" showErrorMessage="1">
          <x14:formula1>
            <xm:f>Parameters!$A$65:$A$69</xm:f>
          </x14:formula1>
          <xm:sqref>B27</xm:sqref>
        </x14:dataValidation>
        <x14:dataValidation type="list" allowBlank="1" showInputMessage="1" showErrorMessage="1">
          <x14:formula1>
            <xm:f>Parameters!$A$72:$A$73</xm:f>
          </x14:formula1>
          <xm:sqref>B29</xm:sqref>
        </x14:dataValidation>
        <x14:dataValidation type="list" allowBlank="1" showInputMessage="1" showErrorMessage="1">
          <x14:formula1>
            <xm:f>Parameters!$A$50:$A$55</xm:f>
          </x14:formula1>
          <xm:sqref>B23</xm:sqref>
        </x14:dataValidation>
        <x14:dataValidation type="list" allowBlank="1" showInputMessage="1" showErrorMessage="1">
          <x14:formula1>
            <xm:f>Parameters!$B$23:$D$23</xm:f>
          </x14:formula1>
          <xm:sqref>B15</xm:sqref>
        </x14:dataValidation>
        <x14:dataValidation type="list" allowBlank="1" showInputMessage="1" showErrorMessage="1">
          <x14:formula1>
            <xm:f>Parameters!$A$6:$A$21</xm:f>
          </x14:formula1>
          <xm:sqref>B13</xm:sqref>
        </x14:dataValidation>
        <x14:dataValidation type="list" allowBlank="1" showInputMessage="1" showErrorMessage="1">
          <x14:formula1>
            <xm:f>Parameters!$B$49:$F$49</xm:f>
          </x14:formula1>
          <xm:sqref>D23</xm:sqref>
        </x14:dataValidation>
        <x14:dataValidation type="list" allowBlank="1" showInputMessage="1" showErrorMessage="1">
          <x14:formula1>
            <xm:f>Parameters!$B$57:$F$57</xm:f>
          </x14:formula1>
          <xm:sqref>D25</xm:sqref>
        </x14:dataValidation>
        <x14:dataValidation type="list" allowBlank="1" showInputMessage="1" showErrorMessage="1">
          <x14:formula1>
            <xm:f>Parameters!$B$64:$F$64</xm:f>
          </x14:formula1>
          <xm:sqref>D27</xm:sqref>
        </x14:dataValidation>
        <x14:dataValidation type="list" allowBlank="1" showInputMessage="1" showErrorMessage="1">
          <x14:formula1>
            <xm:f>Parameters!$B$71:$F$71</xm:f>
          </x14:formula1>
          <xm:sqref>D29</xm:sqref>
        </x14:dataValidation>
        <x14:dataValidation type="list" allowBlank="1" showInputMessage="1" showErrorMessage="1">
          <x14:formula1>
            <xm:f>Parameters!$A$42:$A$43</xm:f>
          </x14:formula1>
          <xm:sqref>D17</xm:sqref>
        </x14:dataValidation>
        <x14:dataValidation type="list" allowBlank="1" showInputMessage="1" showErrorMessage="1">
          <x14:formula1>
            <xm:f>Parameters!$A$83:$A$86</xm:f>
          </x14:formula1>
          <xm:sqref>F37</xm:sqref>
        </x14:dataValidation>
        <x14:dataValidation type="list" allowBlank="1" showInputMessage="1" showErrorMessage="1">
          <x14:formula1>
            <xm:f>Parameters!$B$5:$AK$5</xm:f>
          </x14:formula1>
          <xm:sqref>D13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0000"/>
  </sheetPr>
  <dimension ref="A1:AL126"/>
  <sheetViews>
    <sheetView topLeftCell="A2" zoomScaleNormal="100" workbookViewId="0">
      <selection activeCell="A5" sqref="A5"/>
    </sheetView>
  </sheetViews>
  <sheetFormatPr defaultRowHeight="15" x14ac:dyDescent="0.25"/>
  <cols>
    <col min="1" max="1" width="40.85546875" customWidth="1"/>
    <col min="2" max="38" width="18.7109375" customWidth="1"/>
  </cols>
  <sheetData>
    <row r="1" spans="1:38" ht="31.5" x14ac:dyDescent="0.5">
      <c r="A1" s="342" t="s">
        <v>162</v>
      </c>
      <c r="B1" s="342"/>
      <c r="C1" s="342"/>
      <c r="D1" s="342"/>
      <c r="E1" s="342"/>
      <c r="F1" s="342"/>
      <c r="G1" s="342"/>
      <c r="H1" s="342"/>
      <c r="I1" s="342"/>
      <c r="J1" s="342"/>
    </row>
    <row r="2" spans="1:38" ht="15" customHeight="1" x14ac:dyDescent="0.35">
      <c r="A2" s="68"/>
      <c r="B2" s="68"/>
      <c r="C2" s="68"/>
      <c r="D2" s="68"/>
      <c r="E2" s="68"/>
    </row>
    <row r="3" spans="1:38" ht="15" customHeight="1" x14ac:dyDescent="0.25">
      <c r="A3" s="343" t="s">
        <v>79</v>
      </c>
      <c r="B3" s="343"/>
      <c r="C3" s="343"/>
      <c r="D3" s="343"/>
      <c r="E3" s="343"/>
      <c r="F3" s="343"/>
      <c r="G3" s="343"/>
      <c r="H3" s="343"/>
      <c r="I3" s="343"/>
      <c r="J3" s="343"/>
      <c r="K3" s="120"/>
    </row>
    <row r="4" spans="1:38" ht="6.75" customHeight="1" x14ac:dyDescent="0.25">
      <c r="A4" s="1"/>
      <c r="B4" s="10"/>
      <c r="C4" s="10"/>
    </row>
    <row r="5" spans="1:38" ht="15" customHeight="1" thickBot="1" x14ac:dyDescent="0.3">
      <c r="A5" s="5" t="s">
        <v>78</v>
      </c>
      <c r="B5" s="222">
        <v>0.65</v>
      </c>
      <c r="C5" s="222">
        <v>0.64</v>
      </c>
      <c r="D5" s="222">
        <v>0.63</v>
      </c>
      <c r="E5" s="222">
        <v>0.62</v>
      </c>
      <c r="F5" s="222">
        <v>0.61</v>
      </c>
      <c r="G5" s="222">
        <v>0.6</v>
      </c>
      <c r="H5" s="223">
        <v>0.59</v>
      </c>
      <c r="I5" s="223">
        <v>0.57999999999999996</v>
      </c>
      <c r="J5" s="223">
        <v>0.56999999999999995</v>
      </c>
      <c r="K5" s="223">
        <v>0.56000000000000005</v>
      </c>
      <c r="L5" s="224">
        <v>0.55000000000000004</v>
      </c>
      <c r="M5" s="225">
        <v>0.54</v>
      </c>
      <c r="N5" s="225">
        <v>0.53</v>
      </c>
      <c r="O5" s="225">
        <v>0.52</v>
      </c>
      <c r="P5" s="225">
        <v>0.51</v>
      </c>
      <c r="Q5" s="226">
        <v>0.5</v>
      </c>
      <c r="R5" s="225">
        <v>0.49</v>
      </c>
      <c r="S5" s="225">
        <v>0.48</v>
      </c>
      <c r="T5" s="225">
        <v>0.47</v>
      </c>
      <c r="U5" s="225">
        <v>0.46</v>
      </c>
      <c r="V5" s="226">
        <v>0.45</v>
      </c>
      <c r="W5" s="225">
        <v>0.44</v>
      </c>
      <c r="X5" s="225">
        <v>0.43</v>
      </c>
      <c r="Y5" s="225">
        <v>0.42</v>
      </c>
      <c r="Z5" s="225">
        <v>0.41</v>
      </c>
      <c r="AA5" s="226">
        <v>0.4</v>
      </c>
      <c r="AB5" s="225">
        <v>0.39</v>
      </c>
      <c r="AC5" s="225">
        <v>0.38</v>
      </c>
      <c r="AD5" s="225">
        <v>0.37</v>
      </c>
      <c r="AE5" s="225">
        <v>0.36</v>
      </c>
      <c r="AF5" s="227">
        <v>0.35</v>
      </c>
      <c r="AG5" s="225">
        <v>0.34</v>
      </c>
      <c r="AH5" s="225">
        <v>0.33</v>
      </c>
      <c r="AI5" s="225">
        <v>0.32</v>
      </c>
      <c r="AJ5" s="225">
        <v>0.31</v>
      </c>
      <c r="AK5" s="259">
        <v>0.3</v>
      </c>
      <c r="AL5" s="228" t="s">
        <v>21</v>
      </c>
    </row>
    <row r="6" spans="1:38" ht="15" customHeight="1" x14ac:dyDescent="0.25">
      <c r="A6" s="72" t="s">
        <v>9</v>
      </c>
      <c r="B6" s="229">
        <v>1595</v>
      </c>
      <c r="C6" s="229">
        <v>1551</v>
      </c>
      <c r="D6" s="229">
        <v>1509</v>
      </c>
      <c r="E6" s="229">
        <v>1469</v>
      </c>
      <c r="F6" s="230">
        <v>1431</v>
      </c>
      <c r="G6" s="231">
        <v>1396</v>
      </c>
      <c r="H6" s="229">
        <v>1362</v>
      </c>
      <c r="I6" s="229">
        <v>1329</v>
      </c>
      <c r="J6" s="229">
        <v>1298</v>
      </c>
      <c r="K6" s="229">
        <v>1269</v>
      </c>
      <c r="L6" s="232">
        <v>1241</v>
      </c>
      <c r="M6" s="229">
        <v>1214</v>
      </c>
      <c r="N6" s="229">
        <v>1188</v>
      </c>
      <c r="O6" s="229">
        <v>1163</v>
      </c>
      <c r="P6" s="229">
        <v>1139</v>
      </c>
      <c r="Q6" s="232">
        <v>1117</v>
      </c>
      <c r="R6" s="229">
        <v>1095</v>
      </c>
      <c r="S6" s="233">
        <v>1074</v>
      </c>
      <c r="T6" s="233">
        <v>1053</v>
      </c>
      <c r="U6" s="233">
        <v>1034</v>
      </c>
      <c r="V6" s="232">
        <v>1015</v>
      </c>
      <c r="W6" s="229">
        <v>997</v>
      </c>
      <c r="X6" s="229">
        <v>979</v>
      </c>
      <c r="Y6" s="229">
        <v>963</v>
      </c>
      <c r="Z6" s="229">
        <v>946</v>
      </c>
      <c r="AA6" s="232">
        <v>930</v>
      </c>
      <c r="AB6" s="230">
        <v>915</v>
      </c>
      <c r="AC6" s="229">
        <v>900</v>
      </c>
      <c r="AD6" s="229">
        <v>886</v>
      </c>
      <c r="AE6" s="229">
        <v>872</v>
      </c>
      <c r="AF6" s="232">
        <v>859</v>
      </c>
      <c r="AG6" s="229">
        <v>846</v>
      </c>
      <c r="AH6" s="233">
        <v>833</v>
      </c>
      <c r="AI6" s="233">
        <v>821</v>
      </c>
      <c r="AJ6" s="233">
        <v>809</v>
      </c>
      <c r="AK6" s="260">
        <v>798</v>
      </c>
      <c r="AL6" s="239"/>
    </row>
    <row r="7" spans="1:38" ht="15" customHeight="1" x14ac:dyDescent="0.25">
      <c r="A7" s="73" t="s">
        <v>52</v>
      </c>
      <c r="B7" s="231">
        <v>1639</v>
      </c>
      <c r="C7" s="231">
        <v>1593</v>
      </c>
      <c r="D7" s="231">
        <v>1550</v>
      </c>
      <c r="E7" s="231">
        <v>1509</v>
      </c>
      <c r="F7" s="230">
        <v>1471</v>
      </c>
      <c r="G7" s="231">
        <v>1434</v>
      </c>
      <c r="H7" s="231">
        <v>1399</v>
      </c>
      <c r="I7" s="231">
        <v>1366</v>
      </c>
      <c r="J7" s="231">
        <v>1334</v>
      </c>
      <c r="K7" s="231">
        <v>1304</v>
      </c>
      <c r="L7" s="232">
        <v>1275</v>
      </c>
      <c r="M7" s="231">
        <v>1247</v>
      </c>
      <c r="N7" s="231">
        <v>1220</v>
      </c>
      <c r="O7" s="231">
        <v>1195</v>
      </c>
      <c r="P7" s="231">
        <v>1170</v>
      </c>
      <c r="Q7" s="232">
        <v>1147</v>
      </c>
      <c r="R7" s="231">
        <v>1125</v>
      </c>
      <c r="S7" s="234">
        <v>1103</v>
      </c>
      <c r="T7" s="234">
        <v>1082</v>
      </c>
      <c r="U7" s="234">
        <v>1062</v>
      </c>
      <c r="V7" s="232">
        <v>1043</v>
      </c>
      <c r="W7" s="231">
        <v>1024</v>
      </c>
      <c r="X7" s="231">
        <v>1006</v>
      </c>
      <c r="Y7" s="231">
        <v>989</v>
      </c>
      <c r="Z7" s="231">
        <v>972</v>
      </c>
      <c r="AA7" s="232">
        <v>956</v>
      </c>
      <c r="AB7" s="231">
        <v>940</v>
      </c>
      <c r="AC7" s="234">
        <v>925</v>
      </c>
      <c r="AD7" s="231">
        <v>910</v>
      </c>
      <c r="AE7" s="231">
        <v>896</v>
      </c>
      <c r="AF7" s="232">
        <v>882</v>
      </c>
      <c r="AG7" s="231">
        <v>869</v>
      </c>
      <c r="AH7" s="234">
        <v>856</v>
      </c>
      <c r="AI7" s="234">
        <v>843</v>
      </c>
      <c r="AJ7" s="234">
        <v>831</v>
      </c>
      <c r="AK7" s="260">
        <v>819</v>
      </c>
      <c r="AL7" s="235">
        <f>MATCH(Rekenblad!B13,Parameters!A5:A21,0)</f>
        <v>2</v>
      </c>
    </row>
    <row r="8" spans="1:38" ht="15" customHeight="1" x14ac:dyDescent="0.25">
      <c r="A8" s="73" t="s">
        <v>53</v>
      </c>
      <c r="B8" s="231">
        <v>1673</v>
      </c>
      <c r="C8" s="231">
        <v>1626</v>
      </c>
      <c r="D8" s="231">
        <v>1582</v>
      </c>
      <c r="E8" s="231">
        <v>1541</v>
      </c>
      <c r="F8" s="230">
        <v>1501</v>
      </c>
      <c r="G8" s="231">
        <v>1464</v>
      </c>
      <c r="H8" s="231">
        <v>1428</v>
      </c>
      <c r="I8" s="231">
        <v>1394</v>
      </c>
      <c r="J8" s="231">
        <v>1362</v>
      </c>
      <c r="K8" s="231">
        <v>1331</v>
      </c>
      <c r="L8" s="236">
        <v>1301</v>
      </c>
      <c r="M8" s="231">
        <v>1273</v>
      </c>
      <c r="N8" s="231">
        <v>1246</v>
      </c>
      <c r="O8" s="231">
        <v>1220</v>
      </c>
      <c r="P8" s="230">
        <v>1195</v>
      </c>
      <c r="Q8" s="176">
        <v>1171</v>
      </c>
      <c r="R8" s="231">
        <v>1148</v>
      </c>
      <c r="S8" s="234">
        <v>1126</v>
      </c>
      <c r="T8" s="234">
        <v>1105</v>
      </c>
      <c r="U8" s="230">
        <v>1084</v>
      </c>
      <c r="V8" s="176">
        <v>1065</v>
      </c>
      <c r="W8" s="231">
        <v>1046</v>
      </c>
      <c r="X8" s="231">
        <v>1027</v>
      </c>
      <c r="Y8" s="231">
        <v>1009</v>
      </c>
      <c r="Z8" s="230">
        <v>992</v>
      </c>
      <c r="AA8" s="176">
        <v>976</v>
      </c>
      <c r="AB8" s="231">
        <v>960</v>
      </c>
      <c r="AC8" s="234">
        <v>944</v>
      </c>
      <c r="AD8" s="231">
        <v>929</v>
      </c>
      <c r="AE8" s="230">
        <v>915</v>
      </c>
      <c r="AF8" s="176">
        <v>901</v>
      </c>
      <c r="AG8" s="231">
        <v>887</v>
      </c>
      <c r="AH8" s="234">
        <v>874</v>
      </c>
      <c r="AI8" s="234">
        <v>861</v>
      </c>
      <c r="AJ8" s="230">
        <v>849</v>
      </c>
      <c r="AK8" s="261">
        <v>836</v>
      </c>
      <c r="AL8" s="235">
        <f>MATCH(Rekenblad!D13,Parameters!A5:AK5,0)</f>
        <v>7</v>
      </c>
    </row>
    <row r="9" spans="1:38" ht="15" customHeight="1" x14ac:dyDescent="0.25">
      <c r="A9" s="73" t="s">
        <v>48</v>
      </c>
      <c r="B9" s="231">
        <v>1010</v>
      </c>
      <c r="C9" s="231">
        <v>982</v>
      </c>
      <c r="D9" s="231">
        <v>955</v>
      </c>
      <c r="E9" s="231">
        <v>930</v>
      </c>
      <c r="F9" s="230">
        <v>906</v>
      </c>
      <c r="G9" s="231">
        <v>884</v>
      </c>
      <c r="H9" s="231">
        <v>862</v>
      </c>
      <c r="I9" s="231">
        <v>841</v>
      </c>
      <c r="J9" s="231">
        <v>822</v>
      </c>
      <c r="K9" s="231">
        <v>803</v>
      </c>
      <c r="L9" s="236">
        <v>785</v>
      </c>
      <c r="M9" s="231">
        <v>768</v>
      </c>
      <c r="N9" s="231">
        <v>752</v>
      </c>
      <c r="O9" s="231">
        <v>736</v>
      </c>
      <c r="P9" s="230">
        <v>721</v>
      </c>
      <c r="Q9" s="237">
        <v>707</v>
      </c>
      <c r="R9" s="231">
        <v>693</v>
      </c>
      <c r="S9" s="234">
        <v>680</v>
      </c>
      <c r="T9" s="234">
        <v>667</v>
      </c>
      <c r="U9" s="230">
        <v>654</v>
      </c>
      <c r="V9" s="238">
        <v>643</v>
      </c>
      <c r="W9" s="231">
        <v>631</v>
      </c>
      <c r="X9" s="231">
        <v>620</v>
      </c>
      <c r="Y9" s="231">
        <v>609</v>
      </c>
      <c r="Z9" s="230">
        <v>599</v>
      </c>
      <c r="AA9" s="238">
        <v>589</v>
      </c>
      <c r="AB9" s="231">
        <v>579</v>
      </c>
      <c r="AC9" s="234">
        <v>570</v>
      </c>
      <c r="AD9" s="231">
        <v>561</v>
      </c>
      <c r="AE9" s="230">
        <v>552</v>
      </c>
      <c r="AF9" s="238">
        <v>544</v>
      </c>
      <c r="AG9" s="231">
        <v>535</v>
      </c>
      <c r="AH9" s="234">
        <v>527</v>
      </c>
      <c r="AI9" s="234">
        <v>520</v>
      </c>
      <c r="AJ9" s="230">
        <v>512</v>
      </c>
      <c r="AK9" s="262">
        <v>505</v>
      </c>
      <c r="AL9" s="258"/>
    </row>
    <row r="10" spans="1:38" ht="15" customHeight="1" x14ac:dyDescent="0.25">
      <c r="A10" s="73" t="s">
        <v>54</v>
      </c>
      <c r="B10" s="231">
        <v>1574</v>
      </c>
      <c r="C10" s="231">
        <v>1531</v>
      </c>
      <c r="D10" s="231">
        <v>1489</v>
      </c>
      <c r="E10" s="231">
        <v>1450</v>
      </c>
      <c r="F10" s="230">
        <v>1413</v>
      </c>
      <c r="G10" s="231">
        <v>1378</v>
      </c>
      <c r="H10" s="231">
        <v>1344</v>
      </c>
      <c r="I10" s="231">
        <v>1312</v>
      </c>
      <c r="J10" s="231">
        <v>1281</v>
      </c>
      <c r="K10" s="231">
        <v>1252</v>
      </c>
      <c r="L10" s="236">
        <v>1225</v>
      </c>
      <c r="M10" s="231">
        <v>1198</v>
      </c>
      <c r="N10" s="231">
        <v>1172</v>
      </c>
      <c r="O10" s="231">
        <v>1148</v>
      </c>
      <c r="P10" s="230">
        <v>1125</v>
      </c>
      <c r="Q10" s="176">
        <v>1102</v>
      </c>
      <c r="R10" s="231">
        <v>1080</v>
      </c>
      <c r="S10" s="234">
        <v>1060</v>
      </c>
      <c r="T10" s="234">
        <v>1040</v>
      </c>
      <c r="U10" s="230">
        <v>1020</v>
      </c>
      <c r="V10" s="176">
        <v>1002</v>
      </c>
      <c r="W10" s="231">
        <v>984</v>
      </c>
      <c r="X10" s="231">
        <v>967</v>
      </c>
      <c r="Y10" s="231">
        <v>950</v>
      </c>
      <c r="Z10" s="230">
        <v>934</v>
      </c>
      <c r="AA10" s="176">
        <v>918</v>
      </c>
      <c r="AB10" s="231">
        <v>903</v>
      </c>
      <c r="AC10" s="234">
        <v>889</v>
      </c>
      <c r="AD10" s="231">
        <v>875</v>
      </c>
      <c r="AE10" s="230">
        <v>861</v>
      </c>
      <c r="AF10" s="176">
        <v>848</v>
      </c>
      <c r="AG10" s="231">
        <v>835</v>
      </c>
      <c r="AH10" s="234">
        <v>822</v>
      </c>
      <c r="AI10" s="234">
        <v>810</v>
      </c>
      <c r="AJ10" s="230">
        <v>799</v>
      </c>
      <c r="AK10" s="262">
        <v>787</v>
      </c>
      <c r="AL10" s="239"/>
    </row>
    <row r="11" spans="1:38" ht="15" customHeight="1" x14ac:dyDescent="0.25">
      <c r="A11" s="73" t="s">
        <v>55</v>
      </c>
      <c r="B11" s="231">
        <v>1343</v>
      </c>
      <c r="C11" s="231">
        <v>1306</v>
      </c>
      <c r="D11" s="231">
        <v>1271</v>
      </c>
      <c r="E11" s="231">
        <v>1237</v>
      </c>
      <c r="F11" s="230">
        <v>1205</v>
      </c>
      <c r="G11" s="231">
        <v>1175</v>
      </c>
      <c r="H11" s="231">
        <v>1147</v>
      </c>
      <c r="I11" s="231">
        <v>1119</v>
      </c>
      <c r="J11" s="231">
        <v>1093</v>
      </c>
      <c r="K11" s="231">
        <v>1068</v>
      </c>
      <c r="L11" s="236">
        <v>1045</v>
      </c>
      <c r="M11" s="231">
        <v>1022</v>
      </c>
      <c r="N11" s="231">
        <v>1000</v>
      </c>
      <c r="O11" s="231">
        <v>979</v>
      </c>
      <c r="P11" s="230">
        <v>959</v>
      </c>
      <c r="Q11" s="176">
        <v>940</v>
      </c>
      <c r="R11" s="231">
        <v>922</v>
      </c>
      <c r="S11" s="234">
        <v>904</v>
      </c>
      <c r="T11" s="234">
        <v>887</v>
      </c>
      <c r="U11" s="230">
        <v>871</v>
      </c>
      <c r="V11" s="238">
        <v>855</v>
      </c>
      <c r="W11" s="231">
        <v>839</v>
      </c>
      <c r="X11" s="231">
        <v>825</v>
      </c>
      <c r="Y11" s="231">
        <v>811</v>
      </c>
      <c r="Z11" s="230">
        <v>797</v>
      </c>
      <c r="AA11" s="176">
        <v>784</v>
      </c>
      <c r="AB11" s="231">
        <v>771</v>
      </c>
      <c r="AC11" s="234">
        <v>758</v>
      </c>
      <c r="AD11" s="231">
        <v>746</v>
      </c>
      <c r="AE11" s="230">
        <v>735</v>
      </c>
      <c r="AF11" s="238">
        <v>723</v>
      </c>
      <c r="AG11" s="231">
        <v>712</v>
      </c>
      <c r="AH11" s="234">
        <v>702</v>
      </c>
      <c r="AI11" s="234">
        <v>691</v>
      </c>
      <c r="AJ11" s="230">
        <v>681</v>
      </c>
      <c r="AK11" s="261">
        <v>672</v>
      </c>
      <c r="AL11" s="239"/>
    </row>
    <row r="12" spans="1:38" ht="14.25" customHeight="1" x14ac:dyDescent="0.25">
      <c r="A12" s="73" t="s">
        <v>56</v>
      </c>
      <c r="B12" s="231">
        <v>1662</v>
      </c>
      <c r="C12" s="231">
        <v>1615</v>
      </c>
      <c r="D12" s="231">
        <v>1572</v>
      </c>
      <c r="E12" s="231">
        <v>1530</v>
      </c>
      <c r="F12" s="230">
        <v>1491</v>
      </c>
      <c r="G12" s="231">
        <v>1454</v>
      </c>
      <c r="H12" s="231">
        <v>1418</v>
      </c>
      <c r="I12" s="231">
        <v>1385</v>
      </c>
      <c r="J12" s="231">
        <v>1352</v>
      </c>
      <c r="K12" s="231">
        <v>1322</v>
      </c>
      <c r="L12" s="236">
        <v>1292</v>
      </c>
      <c r="M12" s="231">
        <v>1264</v>
      </c>
      <c r="N12" s="231">
        <v>1237</v>
      </c>
      <c r="O12" s="231">
        <v>1212</v>
      </c>
      <c r="P12" s="230">
        <v>1187</v>
      </c>
      <c r="Q12" s="176">
        <v>1163</v>
      </c>
      <c r="R12" s="231">
        <v>1140</v>
      </c>
      <c r="S12" s="234">
        <v>1118</v>
      </c>
      <c r="T12" s="234">
        <v>1097</v>
      </c>
      <c r="U12" s="230">
        <v>1077</v>
      </c>
      <c r="V12" s="238">
        <v>1057</v>
      </c>
      <c r="W12" s="231">
        <v>1039</v>
      </c>
      <c r="X12" s="231">
        <v>1020</v>
      </c>
      <c r="Y12" s="231">
        <v>1003</v>
      </c>
      <c r="Z12" s="230">
        <v>986</v>
      </c>
      <c r="AA12" s="176">
        <v>969</v>
      </c>
      <c r="AB12" s="231">
        <v>953</v>
      </c>
      <c r="AC12" s="234">
        <v>938</v>
      </c>
      <c r="AD12" s="231">
        <v>923</v>
      </c>
      <c r="AE12" s="230">
        <v>909</v>
      </c>
      <c r="AF12" s="238">
        <v>895</v>
      </c>
      <c r="AG12" s="231">
        <v>881</v>
      </c>
      <c r="AH12" s="234">
        <v>868</v>
      </c>
      <c r="AI12" s="234">
        <v>855</v>
      </c>
      <c r="AJ12" s="230">
        <v>843</v>
      </c>
      <c r="AK12" s="261">
        <v>831</v>
      </c>
      <c r="AL12" s="240"/>
    </row>
    <row r="13" spans="1:38" ht="15" customHeight="1" x14ac:dyDescent="0.25">
      <c r="A13" s="74" t="s">
        <v>57</v>
      </c>
      <c r="B13" s="231">
        <v>1538</v>
      </c>
      <c r="C13" s="231">
        <v>1495</v>
      </c>
      <c r="D13" s="231">
        <v>1454</v>
      </c>
      <c r="E13" s="231">
        <v>1416</v>
      </c>
      <c r="F13" s="230">
        <v>1380</v>
      </c>
      <c r="G13" s="231">
        <v>1345</v>
      </c>
      <c r="H13" s="231">
        <v>1313</v>
      </c>
      <c r="I13" s="231">
        <v>1281</v>
      </c>
      <c r="J13" s="231">
        <v>1252</v>
      </c>
      <c r="K13" s="231">
        <v>1223</v>
      </c>
      <c r="L13" s="236">
        <v>1196</v>
      </c>
      <c r="M13" s="231">
        <v>1170</v>
      </c>
      <c r="N13" s="231">
        <v>1145</v>
      </c>
      <c r="O13" s="231">
        <v>1121</v>
      </c>
      <c r="P13" s="230">
        <v>1098</v>
      </c>
      <c r="Q13" s="176">
        <v>1076</v>
      </c>
      <c r="R13" s="231">
        <v>1055</v>
      </c>
      <c r="S13" s="234">
        <v>1035</v>
      </c>
      <c r="T13" s="234">
        <v>1015</v>
      </c>
      <c r="U13" s="230">
        <v>997</v>
      </c>
      <c r="V13" s="238">
        <v>978</v>
      </c>
      <c r="W13" s="231">
        <v>961</v>
      </c>
      <c r="X13" s="231">
        <v>944</v>
      </c>
      <c r="Y13" s="231">
        <v>928</v>
      </c>
      <c r="Z13" s="230">
        <v>912</v>
      </c>
      <c r="AA13" s="176">
        <v>897</v>
      </c>
      <c r="AB13" s="231">
        <v>882</v>
      </c>
      <c r="AC13" s="234">
        <v>868</v>
      </c>
      <c r="AD13" s="231">
        <v>854</v>
      </c>
      <c r="AE13" s="230">
        <v>841</v>
      </c>
      <c r="AF13" s="238">
        <v>828</v>
      </c>
      <c r="AG13" s="231">
        <v>815</v>
      </c>
      <c r="AH13" s="234">
        <v>803</v>
      </c>
      <c r="AI13" s="234">
        <v>791</v>
      </c>
      <c r="AJ13" s="230">
        <v>780</v>
      </c>
      <c r="AK13" s="261">
        <v>769</v>
      </c>
      <c r="AL13" s="121" t="s">
        <v>21</v>
      </c>
    </row>
    <row r="14" spans="1:38" ht="15" customHeight="1" x14ac:dyDescent="0.25">
      <c r="A14" s="74" t="s">
        <v>58</v>
      </c>
      <c r="B14" s="231">
        <v>1405</v>
      </c>
      <c r="C14" s="231">
        <v>1366</v>
      </c>
      <c r="D14" s="231">
        <v>1329</v>
      </c>
      <c r="E14" s="231">
        <v>1295</v>
      </c>
      <c r="F14" s="230">
        <v>1261</v>
      </c>
      <c r="G14" s="231">
        <v>1230</v>
      </c>
      <c r="H14" s="231">
        <v>1200</v>
      </c>
      <c r="I14" s="231">
        <v>1171</v>
      </c>
      <c r="J14" s="231">
        <v>1144</v>
      </c>
      <c r="K14" s="231">
        <v>1118</v>
      </c>
      <c r="L14" s="236">
        <v>1093</v>
      </c>
      <c r="M14" s="231">
        <v>1069</v>
      </c>
      <c r="N14" s="231">
        <v>1047</v>
      </c>
      <c r="O14" s="231">
        <v>1025</v>
      </c>
      <c r="P14" s="230">
        <v>1004</v>
      </c>
      <c r="Q14" s="176">
        <v>984</v>
      </c>
      <c r="R14" s="231">
        <v>965</v>
      </c>
      <c r="S14" s="234">
        <v>946</v>
      </c>
      <c r="T14" s="234">
        <v>928</v>
      </c>
      <c r="U14" s="230">
        <v>911</v>
      </c>
      <c r="V14" s="238">
        <v>894</v>
      </c>
      <c r="W14" s="231">
        <v>878</v>
      </c>
      <c r="X14" s="231">
        <v>863</v>
      </c>
      <c r="Y14" s="231">
        <v>848</v>
      </c>
      <c r="Z14" s="230">
        <v>834</v>
      </c>
      <c r="AA14" s="176">
        <v>820</v>
      </c>
      <c r="AB14" s="231">
        <v>806</v>
      </c>
      <c r="AC14" s="234">
        <v>793</v>
      </c>
      <c r="AD14" s="231">
        <v>781</v>
      </c>
      <c r="AE14" s="230">
        <v>769</v>
      </c>
      <c r="AF14" s="238">
        <v>757</v>
      </c>
      <c r="AG14" s="231">
        <v>745</v>
      </c>
      <c r="AH14" s="234">
        <v>734</v>
      </c>
      <c r="AI14" s="234">
        <v>723</v>
      </c>
      <c r="AJ14" s="230">
        <v>713</v>
      </c>
      <c r="AK14" s="261">
        <v>703</v>
      </c>
      <c r="AL14" s="239"/>
    </row>
    <row r="15" spans="1:38" ht="15" customHeight="1" x14ac:dyDescent="0.25">
      <c r="A15" s="74" t="s">
        <v>59</v>
      </c>
      <c r="B15" s="241">
        <f>AVERAGE(B6:B14)</f>
        <v>1493.2222222222222</v>
      </c>
      <c r="C15" s="241">
        <f t="shared" ref="C15:F15" si="0">AVERAGE(C6:C14)</f>
        <v>1451.6666666666667</v>
      </c>
      <c r="D15" s="241">
        <f t="shared" si="0"/>
        <v>1412.3333333333333</v>
      </c>
      <c r="E15" s="241">
        <f t="shared" si="0"/>
        <v>1375.2222222222222</v>
      </c>
      <c r="F15" s="242">
        <f t="shared" si="0"/>
        <v>1339.8888888888889</v>
      </c>
      <c r="G15" s="241">
        <f>AVERAGE(G6:G14)</f>
        <v>1306.6666666666667</v>
      </c>
      <c r="H15" s="241">
        <f t="shared" ref="H15:K15" si="1">AVERAGE(H6:H14)</f>
        <v>1274.7777777777778</v>
      </c>
      <c r="I15" s="241">
        <f t="shared" si="1"/>
        <v>1244.2222222222222</v>
      </c>
      <c r="J15" s="241">
        <f t="shared" si="1"/>
        <v>1215.3333333333333</v>
      </c>
      <c r="K15" s="241">
        <f t="shared" si="1"/>
        <v>1187.7777777777778</v>
      </c>
      <c r="L15" s="243">
        <f>AVERAGE(L6:L14)</f>
        <v>1161.4444444444443</v>
      </c>
      <c r="M15" s="244">
        <f t="shared" ref="M15:U15" si="2">AVERAGE(M6:M14)</f>
        <v>1136.1111111111111</v>
      </c>
      <c r="N15" s="244">
        <f t="shared" si="2"/>
        <v>1111.8888888888889</v>
      </c>
      <c r="O15" s="244">
        <f t="shared" si="2"/>
        <v>1088.7777777777778</v>
      </c>
      <c r="P15" s="243">
        <f t="shared" si="2"/>
        <v>1066.4444444444443</v>
      </c>
      <c r="Q15" s="243">
        <f t="shared" si="2"/>
        <v>1045.2222222222222</v>
      </c>
      <c r="R15" s="244">
        <f t="shared" si="2"/>
        <v>1024.7777777777778</v>
      </c>
      <c r="S15" s="243">
        <f t="shared" si="2"/>
        <v>1005.1111111111111</v>
      </c>
      <c r="T15" s="243">
        <f t="shared" si="2"/>
        <v>986</v>
      </c>
      <c r="U15" s="243">
        <f t="shared" si="2"/>
        <v>967.77777777777783</v>
      </c>
      <c r="V15" s="243">
        <f>AVERAGE(V6:V14)</f>
        <v>950.22222222222217</v>
      </c>
      <c r="W15" s="244">
        <f t="shared" ref="W15:Z15" si="3">AVERAGE(W6:W14)</f>
        <v>933.22222222222217</v>
      </c>
      <c r="X15" s="244">
        <f t="shared" si="3"/>
        <v>916.77777777777783</v>
      </c>
      <c r="Y15" s="244">
        <f t="shared" si="3"/>
        <v>901.11111111111109</v>
      </c>
      <c r="Z15" s="243">
        <f t="shared" si="3"/>
        <v>885.77777777777783</v>
      </c>
      <c r="AA15" s="243">
        <f>AVERAGE(AA6:AA14)</f>
        <v>871</v>
      </c>
      <c r="AB15" s="244">
        <f t="shared" ref="AB15:AE15" si="4">AVERAGE(AB6:AB14)</f>
        <v>856.55555555555554</v>
      </c>
      <c r="AC15" s="243">
        <f t="shared" si="4"/>
        <v>842.77777777777783</v>
      </c>
      <c r="AD15" s="244">
        <f t="shared" si="4"/>
        <v>829.44444444444446</v>
      </c>
      <c r="AE15" s="243">
        <f t="shared" si="4"/>
        <v>816.66666666666663</v>
      </c>
      <c r="AF15" s="243">
        <f>AVERAGE(AF6:AF14)</f>
        <v>804.11111111111109</v>
      </c>
      <c r="AG15" s="244">
        <f t="shared" ref="AG15" si="5">AVERAGE(AG6:AG14)</f>
        <v>791.66666666666663</v>
      </c>
      <c r="AH15" s="243">
        <f>AVERAGE(AH6:AH14)</f>
        <v>779.88888888888891</v>
      </c>
      <c r="AI15" s="243">
        <f>AVERAGE(AI6:AI14)</f>
        <v>768.33333333333337</v>
      </c>
      <c r="AJ15" s="243">
        <f>AVERAGE(AJ6:AJ14)</f>
        <v>757.44444444444446</v>
      </c>
      <c r="AK15" s="263">
        <f>AVERAGE(AK6:AK14)</f>
        <v>746.66666666666663</v>
      </c>
      <c r="AL15" s="235">
        <f>MATCH(Rekenblad!B13,Parameters!A5:A21,0)</f>
        <v>2</v>
      </c>
    </row>
    <row r="16" spans="1:38" ht="15" customHeight="1" x14ac:dyDescent="0.25">
      <c r="A16" s="73" t="s">
        <v>47</v>
      </c>
      <c r="B16" s="231">
        <v>1281</v>
      </c>
      <c r="C16" s="231">
        <v>1245</v>
      </c>
      <c r="D16" s="231">
        <v>1212</v>
      </c>
      <c r="E16" s="231">
        <v>1180</v>
      </c>
      <c r="F16" s="230">
        <v>1149</v>
      </c>
      <c r="G16" s="231">
        <v>1121</v>
      </c>
      <c r="H16" s="231">
        <v>1093</v>
      </c>
      <c r="I16" s="231">
        <v>1067</v>
      </c>
      <c r="J16" s="231">
        <v>1043</v>
      </c>
      <c r="K16" s="231">
        <v>1019</v>
      </c>
      <c r="L16" s="236">
        <v>996</v>
      </c>
      <c r="M16" s="231">
        <v>975</v>
      </c>
      <c r="N16" s="231">
        <v>954</v>
      </c>
      <c r="O16" s="231">
        <v>934</v>
      </c>
      <c r="P16" s="230">
        <v>915</v>
      </c>
      <c r="Q16" s="176">
        <v>897</v>
      </c>
      <c r="R16" s="231">
        <v>879</v>
      </c>
      <c r="S16" s="234">
        <v>862</v>
      </c>
      <c r="T16" s="234">
        <v>846</v>
      </c>
      <c r="U16" s="230">
        <v>830</v>
      </c>
      <c r="V16" s="238">
        <v>815</v>
      </c>
      <c r="W16" s="231">
        <v>801</v>
      </c>
      <c r="X16" s="231">
        <v>786</v>
      </c>
      <c r="Y16" s="231">
        <v>773</v>
      </c>
      <c r="Z16" s="230">
        <v>760</v>
      </c>
      <c r="AA16" s="176">
        <v>747</v>
      </c>
      <c r="AB16" s="231">
        <v>735</v>
      </c>
      <c r="AC16" s="234">
        <v>723</v>
      </c>
      <c r="AD16" s="231">
        <v>712</v>
      </c>
      <c r="AE16" s="230">
        <v>700</v>
      </c>
      <c r="AF16" s="238">
        <v>690</v>
      </c>
      <c r="AG16" s="231">
        <v>679</v>
      </c>
      <c r="AH16" s="234">
        <v>669</v>
      </c>
      <c r="AI16" s="234">
        <v>659</v>
      </c>
      <c r="AJ16" s="230">
        <v>650</v>
      </c>
      <c r="AK16" s="261">
        <v>640</v>
      </c>
      <c r="AL16" s="235">
        <f>MATCH(Rekenblad!B37,Parameters!A5:AK5,0)</f>
        <v>8</v>
      </c>
    </row>
    <row r="17" spans="1:38" ht="15" customHeight="1" x14ac:dyDescent="0.25">
      <c r="A17" s="73" t="s">
        <v>91</v>
      </c>
      <c r="B17" s="231">
        <v>1392</v>
      </c>
      <c r="C17" s="231">
        <v>1353</v>
      </c>
      <c r="D17" s="231">
        <v>1317</v>
      </c>
      <c r="E17" s="231">
        <v>1282</v>
      </c>
      <c r="F17" s="230">
        <v>1249</v>
      </c>
      <c r="G17" s="231">
        <v>1218</v>
      </c>
      <c r="H17" s="231">
        <v>1188</v>
      </c>
      <c r="I17" s="231">
        <v>1160</v>
      </c>
      <c r="J17" s="231">
        <v>1133</v>
      </c>
      <c r="K17" s="231">
        <v>1107</v>
      </c>
      <c r="L17" s="236">
        <v>1083</v>
      </c>
      <c r="M17" s="231">
        <v>1059</v>
      </c>
      <c r="N17" s="231">
        <v>1037</v>
      </c>
      <c r="O17" s="231">
        <v>1015</v>
      </c>
      <c r="P17" s="230">
        <v>994</v>
      </c>
      <c r="Q17" s="176">
        <v>974</v>
      </c>
      <c r="R17" s="231">
        <v>955</v>
      </c>
      <c r="S17" s="234">
        <v>937</v>
      </c>
      <c r="T17" s="234">
        <v>919</v>
      </c>
      <c r="U17" s="230">
        <v>902</v>
      </c>
      <c r="V17" s="238">
        <v>886</v>
      </c>
      <c r="W17" s="231">
        <v>870</v>
      </c>
      <c r="X17" s="231">
        <v>855</v>
      </c>
      <c r="Y17" s="231">
        <v>840</v>
      </c>
      <c r="Z17" s="230">
        <v>826</v>
      </c>
      <c r="AA17" s="176">
        <v>812</v>
      </c>
      <c r="AB17" s="231">
        <v>799</v>
      </c>
      <c r="AC17" s="234">
        <v>786</v>
      </c>
      <c r="AD17" s="231">
        <v>773</v>
      </c>
      <c r="AE17" s="230">
        <v>761</v>
      </c>
      <c r="AF17" s="238">
        <v>750</v>
      </c>
      <c r="AG17" s="231">
        <v>738</v>
      </c>
      <c r="AH17" s="234">
        <v>727</v>
      </c>
      <c r="AI17" s="234">
        <v>716</v>
      </c>
      <c r="AJ17" s="230">
        <v>706</v>
      </c>
      <c r="AK17" s="261">
        <v>696</v>
      </c>
      <c r="AL17" s="239"/>
    </row>
    <row r="18" spans="1:38" ht="15" customHeight="1" x14ac:dyDescent="0.25">
      <c r="A18" s="73" t="s">
        <v>60</v>
      </c>
      <c r="B18" s="231">
        <v>1392</v>
      </c>
      <c r="C18" s="231">
        <v>1354</v>
      </c>
      <c r="D18" s="231">
        <v>1317</v>
      </c>
      <c r="E18" s="231">
        <v>1282</v>
      </c>
      <c r="F18" s="230">
        <v>1249</v>
      </c>
      <c r="G18" s="231">
        <v>1218</v>
      </c>
      <c r="H18" s="231">
        <v>1189</v>
      </c>
      <c r="I18" s="231">
        <v>1160</v>
      </c>
      <c r="J18" s="231">
        <v>1133</v>
      </c>
      <c r="K18" s="231">
        <v>1108</v>
      </c>
      <c r="L18" s="236">
        <v>1083</v>
      </c>
      <c r="M18" s="231">
        <v>1059</v>
      </c>
      <c r="N18" s="231">
        <v>1037</v>
      </c>
      <c r="O18" s="231">
        <v>1015</v>
      </c>
      <c r="P18" s="230">
        <v>994</v>
      </c>
      <c r="Q18" s="176">
        <v>975</v>
      </c>
      <c r="R18" s="231">
        <v>955</v>
      </c>
      <c r="S18" s="234">
        <v>937</v>
      </c>
      <c r="T18" s="234">
        <v>919</v>
      </c>
      <c r="U18" s="230">
        <v>902</v>
      </c>
      <c r="V18" s="238">
        <v>886</v>
      </c>
      <c r="W18" s="231">
        <v>870</v>
      </c>
      <c r="X18" s="231">
        <v>855</v>
      </c>
      <c r="Y18" s="231">
        <v>840</v>
      </c>
      <c r="Z18" s="230">
        <v>826</v>
      </c>
      <c r="AA18" s="176">
        <v>812</v>
      </c>
      <c r="AB18" s="231">
        <v>799</v>
      </c>
      <c r="AC18" s="234">
        <v>786</v>
      </c>
      <c r="AD18" s="231">
        <v>773</v>
      </c>
      <c r="AE18" s="230">
        <v>761</v>
      </c>
      <c r="AF18" s="238">
        <v>750</v>
      </c>
      <c r="AG18" s="231">
        <v>738</v>
      </c>
      <c r="AH18" s="234">
        <v>727</v>
      </c>
      <c r="AI18" s="234">
        <v>717</v>
      </c>
      <c r="AJ18" s="230">
        <v>706</v>
      </c>
      <c r="AK18" s="261">
        <v>696</v>
      </c>
      <c r="AL18" s="239"/>
    </row>
    <row r="19" spans="1:38" ht="15" customHeight="1" x14ac:dyDescent="0.25">
      <c r="A19" s="73" t="s">
        <v>61</v>
      </c>
      <c r="B19" s="231">
        <v>1085</v>
      </c>
      <c r="C19" s="231">
        <v>1055</v>
      </c>
      <c r="D19" s="231">
        <v>1026</v>
      </c>
      <c r="E19" s="231">
        <v>999</v>
      </c>
      <c r="F19" s="230">
        <v>974</v>
      </c>
      <c r="G19" s="231">
        <v>949</v>
      </c>
      <c r="H19" s="231">
        <v>926</v>
      </c>
      <c r="I19" s="231">
        <v>904</v>
      </c>
      <c r="J19" s="231">
        <v>883</v>
      </c>
      <c r="K19" s="231">
        <v>863</v>
      </c>
      <c r="L19" s="236">
        <v>844</v>
      </c>
      <c r="M19" s="231">
        <v>825</v>
      </c>
      <c r="N19" s="231">
        <v>808</v>
      </c>
      <c r="O19" s="231">
        <v>791</v>
      </c>
      <c r="P19" s="230">
        <v>775</v>
      </c>
      <c r="Q19" s="176">
        <v>759</v>
      </c>
      <c r="R19" s="231">
        <v>744</v>
      </c>
      <c r="S19" s="234">
        <v>730</v>
      </c>
      <c r="T19" s="234">
        <v>716</v>
      </c>
      <c r="U19" s="230">
        <v>703</v>
      </c>
      <c r="V19" s="238">
        <v>690</v>
      </c>
      <c r="W19" s="231">
        <v>678</v>
      </c>
      <c r="X19" s="231">
        <v>666</v>
      </c>
      <c r="Y19" s="231">
        <v>655</v>
      </c>
      <c r="Z19" s="230">
        <v>644</v>
      </c>
      <c r="AA19" s="176">
        <v>633</v>
      </c>
      <c r="AB19" s="231">
        <v>622</v>
      </c>
      <c r="AC19" s="234">
        <v>612</v>
      </c>
      <c r="AD19" s="231">
        <v>603</v>
      </c>
      <c r="AE19" s="230">
        <v>593</v>
      </c>
      <c r="AF19" s="238">
        <v>584</v>
      </c>
      <c r="AG19" s="231">
        <v>575</v>
      </c>
      <c r="AH19" s="234">
        <v>567</v>
      </c>
      <c r="AI19" s="234">
        <v>558</v>
      </c>
      <c r="AJ19" s="230">
        <v>550</v>
      </c>
      <c r="AK19" s="261">
        <v>542</v>
      </c>
      <c r="AL19" s="239"/>
    </row>
    <row r="20" spans="1:38" ht="15" customHeight="1" x14ac:dyDescent="0.25">
      <c r="A20" s="73" t="s">
        <v>62</v>
      </c>
      <c r="B20" s="231">
        <v>1183</v>
      </c>
      <c r="C20" s="231">
        <v>1150</v>
      </c>
      <c r="D20" s="231">
        <v>1119</v>
      </c>
      <c r="E20" s="231">
        <v>1090</v>
      </c>
      <c r="F20" s="230">
        <v>1062</v>
      </c>
      <c r="G20" s="231">
        <v>1035</v>
      </c>
      <c r="H20" s="231">
        <v>1010</v>
      </c>
      <c r="I20" s="231">
        <v>986</v>
      </c>
      <c r="J20" s="231">
        <v>963</v>
      </c>
      <c r="K20" s="231">
        <v>941</v>
      </c>
      <c r="L20" s="236">
        <v>920</v>
      </c>
      <c r="M20" s="231">
        <v>900</v>
      </c>
      <c r="N20" s="231">
        <v>881</v>
      </c>
      <c r="O20" s="231">
        <v>863</v>
      </c>
      <c r="P20" s="230">
        <v>845</v>
      </c>
      <c r="Q20" s="176">
        <v>828</v>
      </c>
      <c r="R20" s="231">
        <v>812</v>
      </c>
      <c r="S20" s="234">
        <v>796</v>
      </c>
      <c r="T20" s="234">
        <v>781</v>
      </c>
      <c r="U20" s="230">
        <v>767</v>
      </c>
      <c r="V20" s="238">
        <v>753</v>
      </c>
      <c r="W20" s="231">
        <v>739</v>
      </c>
      <c r="X20" s="231">
        <v>726</v>
      </c>
      <c r="Y20" s="231">
        <v>714</v>
      </c>
      <c r="Z20" s="230">
        <v>702</v>
      </c>
      <c r="AA20" s="176">
        <v>690</v>
      </c>
      <c r="AB20" s="231">
        <v>679</v>
      </c>
      <c r="AC20" s="234">
        <v>668</v>
      </c>
      <c r="AD20" s="231">
        <v>657</v>
      </c>
      <c r="AE20" s="230">
        <v>647</v>
      </c>
      <c r="AF20" s="238">
        <v>637</v>
      </c>
      <c r="AG20" s="231">
        <v>627</v>
      </c>
      <c r="AH20" s="234">
        <v>618</v>
      </c>
      <c r="AI20" s="234">
        <v>609</v>
      </c>
      <c r="AJ20" s="230">
        <v>600</v>
      </c>
      <c r="AK20" s="261">
        <v>592</v>
      </c>
      <c r="AL20" s="239"/>
    </row>
    <row r="21" spans="1:38" ht="15" customHeight="1" x14ac:dyDescent="0.25">
      <c r="A21" s="73" t="s">
        <v>63</v>
      </c>
      <c r="B21" s="241">
        <f t="shared" ref="B21:F21" si="6">AVERAGE(B16:B20)</f>
        <v>1266.5999999999999</v>
      </c>
      <c r="C21" s="241">
        <f t="shared" si="6"/>
        <v>1231.4000000000001</v>
      </c>
      <c r="D21" s="241">
        <f t="shared" si="6"/>
        <v>1198.2</v>
      </c>
      <c r="E21" s="241">
        <f t="shared" si="6"/>
        <v>1166.5999999999999</v>
      </c>
      <c r="F21" s="242">
        <f t="shared" si="6"/>
        <v>1136.5999999999999</v>
      </c>
      <c r="G21" s="241">
        <f>AVERAGE(G16:G20)</f>
        <v>1108.2</v>
      </c>
      <c r="H21" s="241">
        <f t="shared" ref="H21:K21" si="7">AVERAGE(H16:H20)</f>
        <v>1081.2</v>
      </c>
      <c r="I21" s="241">
        <f t="shared" si="7"/>
        <v>1055.4000000000001</v>
      </c>
      <c r="J21" s="241">
        <f t="shared" si="7"/>
        <v>1031</v>
      </c>
      <c r="K21" s="242">
        <f t="shared" si="7"/>
        <v>1007.6</v>
      </c>
      <c r="L21" s="244">
        <f>AVERAGE(L16:L20)</f>
        <v>985.2</v>
      </c>
      <c r="M21" s="241">
        <f t="shared" ref="M21:U21" si="8">AVERAGE(M16:M20)</f>
        <v>963.6</v>
      </c>
      <c r="N21" s="241">
        <f t="shared" si="8"/>
        <v>943.4</v>
      </c>
      <c r="O21" s="241">
        <f t="shared" si="8"/>
        <v>923.6</v>
      </c>
      <c r="P21" s="242">
        <f t="shared" si="8"/>
        <v>904.6</v>
      </c>
      <c r="Q21" s="244">
        <f t="shared" si="8"/>
        <v>886.6</v>
      </c>
      <c r="R21" s="241">
        <f t="shared" si="8"/>
        <v>869</v>
      </c>
      <c r="S21" s="245">
        <f t="shared" si="8"/>
        <v>852.4</v>
      </c>
      <c r="T21" s="245">
        <f t="shared" si="8"/>
        <v>836.2</v>
      </c>
      <c r="U21" s="242">
        <f t="shared" si="8"/>
        <v>820.8</v>
      </c>
      <c r="V21" s="244">
        <f>AVERAGE(V16:V20)</f>
        <v>806</v>
      </c>
      <c r="W21" s="241">
        <f t="shared" ref="W21:Z21" si="9">AVERAGE(W16:W20)</f>
        <v>791.6</v>
      </c>
      <c r="X21" s="241">
        <f t="shared" si="9"/>
        <v>777.6</v>
      </c>
      <c r="Y21" s="241">
        <f t="shared" si="9"/>
        <v>764.4</v>
      </c>
      <c r="Z21" s="242">
        <f t="shared" si="9"/>
        <v>751.6</v>
      </c>
      <c r="AA21" s="244">
        <f>AVERAGE(AA16:AA20)</f>
        <v>738.8</v>
      </c>
      <c r="AB21" s="241">
        <f t="shared" ref="AB21:AE21" si="10">AVERAGE(AB16:AB20)</f>
        <v>726.8</v>
      </c>
      <c r="AC21" s="245">
        <f t="shared" si="10"/>
        <v>715</v>
      </c>
      <c r="AD21" s="241">
        <f t="shared" si="10"/>
        <v>703.6</v>
      </c>
      <c r="AE21" s="242">
        <f t="shared" si="10"/>
        <v>692.4</v>
      </c>
      <c r="AF21" s="244">
        <f>AVERAGE(AF16:AF20)</f>
        <v>682.2</v>
      </c>
      <c r="AG21" s="241">
        <f t="shared" ref="AG21:AJ21" si="11">AVERAGE(AG16:AG20)</f>
        <v>671.4</v>
      </c>
      <c r="AH21" s="245">
        <f t="shared" si="11"/>
        <v>661.6</v>
      </c>
      <c r="AI21" s="245">
        <f t="shared" si="11"/>
        <v>651.79999999999995</v>
      </c>
      <c r="AJ21" s="242">
        <f t="shared" si="11"/>
        <v>642.4</v>
      </c>
      <c r="AK21" s="263">
        <f>AVERAGE(AK16:AK20)</f>
        <v>633.20000000000005</v>
      </c>
      <c r="AL21" s="240"/>
    </row>
    <row r="22" spans="1:38" ht="15" customHeight="1" x14ac:dyDescent="0.25">
      <c r="A22" s="34"/>
      <c r="B22" s="33"/>
      <c r="C22" s="1"/>
      <c r="D22" s="1"/>
      <c r="E22" s="1"/>
      <c r="G22" s="285"/>
      <c r="I22" s="1"/>
    </row>
    <row r="23" spans="1:38" ht="15" customHeight="1" thickBot="1" x14ac:dyDescent="0.3">
      <c r="A23" s="76" t="s">
        <v>35</v>
      </c>
      <c r="B23" s="98" t="s">
        <v>22</v>
      </c>
      <c r="C23" s="98" t="s">
        <v>18</v>
      </c>
      <c r="D23" s="102" t="s">
        <v>23</v>
      </c>
      <c r="E23" s="23" t="s">
        <v>21</v>
      </c>
      <c r="G23" s="287" t="s">
        <v>175</v>
      </c>
      <c r="H23" s="290" t="s">
        <v>121</v>
      </c>
    </row>
    <row r="24" spans="1:38" ht="15" customHeight="1" x14ac:dyDescent="0.25">
      <c r="A24" s="75" t="s">
        <v>9</v>
      </c>
      <c r="B24" s="99">
        <v>1.1599999999999999</v>
      </c>
      <c r="C24" s="99">
        <v>1.34</v>
      </c>
      <c r="D24" s="71">
        <v>2.04</v>
      </c>
      <c r="E24" s="67"/>
      <c r="G24" s="288">
        <f>VLOOKUP(Rekenblad!F37,Parameters!A83:G86,6,FALSE)</f>
        <v>45</v>
      </c>
      <c r="H24" s="286">
        <v>0.77</v>
      </c>
    </row>
    <row r="25" spans="1:38" ht="15" customHeight="1" x14ac:dyDescent="0.25">
      <c r="A25" s="73" t="s">
        <v>52</v>
      </c>
      <c r="B25" s="99">
        <v>1.24</v>
      </c>
      <c r="C25" s="99">
        <v>1.32</v>
      </c>
      <c r="D25" s="103">
        <v>1.39</v>
      </c>
      <c r="E25" s="20">
        <f>MATCH(Rekenblad!B13,Parameters!A23:A39,0)</f>
        <v>2</v>
      </c>
      <c r="G25" s="289">
        <f>VLOOKUP(Rekenblad!F37,Parameters!A83:G86,6,FALSE)</f>
        <v>45</v>
      </c>
      <c r="H25" s="286">
        <v>0.68</v>
      </c>
    </row>
    <row r="26" spans="1:38" ht="15" customHeight="1" x14ac:dyDescent="0.25">
      <c r="A26" s="73" t="s">
        <v>53</v>
      </c>
      <c r="B26" s="99">
        <v>1.24</v>
      </c>
      <c r="C26" s="99">
        <v>1.32</v>
      </c>
      <c r="D26" s="103">
        <v>1.39</v>
      </c>
      <c r="E26" s="20">
        <f>MATCH(Rekenblad!B15,Parameters!A23:D23,0)</f>
        <v>3</v>
      </c>
      <c r="F26" s="1"/>
      <c r="G26" s="289">
        <f>VLOOKUP(Rekenblad!F37,Parameters!A83:G86,6,FALSE)</f>
        <v>45</v>
      </c>
      <c r="H26" s="286">
        <v>0.68</v>
      </c>
    </row>
    <row r="27" spans="1:38" ht="15" customHeight="1" x14ac:dyDescent="0.25">
      <c r="A27" s="73" t="s">
        <v>48</v>
      </c>
      <c r="B27" s="99">
        <v>1.24</v>
      </c>
      <c r="C27" s="105">
        <v>1.32</v>
      </c>
      <c r="D27" s="103">
        <v>1.4</v>
      </c>
      <c r="E27" s="77"/>
      <c r="F27" s="1"/>
      <c r="G27" s="289">
        <f>VLOOKUP(Rekenblad!F37,Parameters!A83:G86,7,FALSE)</f>
        <v>35</v>
      </c>
      <c r="H27" s="286">
        <v>0.77</v>
      </c>
    </row>
    <row r="28" spans="1:38" ht="15" customHeight="1" x14ac:dyDescent="0.25">
      <c r="A28" s="73" t="s">
        <v>54</v>
      </c>
      <c r="B28" s="99">
        <v>1.24</v>
      </c>
      <c r="C28" s="105">
        <v>1.32</v>
      </c>
      <c r="D28" s="103">
        <v>1.4</v>
      </c>
      <c r="E28" s="106"/>
      <c r="F28" s="1"/>
      <c r="G28" s="289">
        <f>VLOOKUP(Rekenblad!F37,Parameters!A83:G86,6,FALSE)</f>
        <v>45</v>
      </c>
      <c r="H28" s="286">
        <v>0.77</v>
      </c>
    </row>
    <row r="29" spans="1:38" ht="15" customHeight="1" x14ac:dyDescent="0.25">
      <c r="A29" s="73" t="s">
        <v>55</v>
      </c>
      <c r="B29" s="99">
        <v>1.24</v>
      </c>
      <c r="C29" s="105">
        <v>1.32</v>
      </c>
      <c r="D29" s="103">
        <v>1.4</v>
      </c>
      <c r="E29" s="77"/>
      <c r="F29" s="1"/>
      <c r="G29" s="289">
        <f>VLOOKUP(Rekenblad!F37,Parameters!A83:G86,6,FALSE)</f>
        <v>45</v>
      </c>
      <c r="H29" s="286">
        <v>0.68</v>
      </c>
    </row>
    <row r="30" spans="1:38" ht="15" customHeight="1" x14ac:dyDescent="0.25">
      <c r="A30" s="73" t="s">
        <v>56</v>
      </c>
      <c r="B30" s="99">
        <v>1.24</v>
      </c>
      <c r="C30" s="105">
        <v>1.32</v>
      </c>
      <c r="D30" s="103">
        <v>1.4</v>
      </c>
      <c r="E30" s="77"/>
      <c r="F30" s="1"/>
      <c r="G30" s="289">
        <f>VLOOKUP(Rekenblad!F37,Parameters!A83:G86,6,FALSE)</f>
        <v>45</v>
      </c>
      <c r="H30" s="286">
        <v>0.77</v>
      </c>
    </row>
    <row r="31" spans="1:38" ht="15" customHeight="1" x14ac:dyDescent="0.25">
      <c r="A31" s="74" t="s">
        <v>57</v>
      </c>
      <c r="B31" s="99">
        <v>1.24</v>
      </c>
      <c r="C31" s="105">
        <v>1.32</v>
      </c>
      <c r="D31" s="103">
        <v>1.4</v>
      </c>
      <c r="E31" s="69"/>
      <c r="F31" s="1"/>
      <c r="G31" s="289">
        <f>VLOOKUP(Rekenblad!F37,Parameters!A83:G86,6,FALSE)</f>
        <v>45</v>
      </c>
      <c r="H31" s="286">
        <v>0.77</v>
      </c>
    </row>
    <row r="32" spans="1:38" ht="15" customHeight="1" x14ac:dyDescent="0.25">
      <c r="A32" s="74" t="s">
        <v>58</v>
      </c>
      <c r="B32" s="99">
        <v>1.24</v>
      </c>
      <c r="C32" s="105">
        <v>1.32</v>
      </c>
      <c r="D32" s="103">
        <v>1.4</v>
      </c>
      <c r="E32" s="78"/>
      <c r="F32" s="1"/>
      <c r="G32" s="289">
        <f>VLOOKUP(Rekenblad!F37,Parameters!A83:G86,6,FALSE)</f>
        <v>45</v>
      </c>
      <c r="H32" s="286">
        <v>0.77</v>
      </c>
    </row>
    <row r="33" spans="1:9" ht="15" customHeight="1" x14ac:dyDescent="0.25">
      <c r="A33" s="74" t="s">
        <v>59</v>
      </c>
      <c r="B33" s="99">
        <v>1.24</v>
      </c>
      <c r="C33" s="99">
        <v>1.32</v>
      </c>
      <c r="D33" s="104">
        <v>1.4</v>
      </c>
      <c r="E33" s="69"/>
      <c r="G33" s="289">
        <f>VLOOKUP(Rekenblad!F37,Parameters!A83:G86,6,FALSE)</f>
        <v>45</v>
      </c>
      <c r="H33" s="286">
        <v>0.77</v>
      </c>
    </row>
    <row r="34" spans="1:9" ht="15" customHeight="1" x14ac:dyDescent="0.25">
      <c r="A34" s="73" t="s">
        <v>47</v>
      </c>
      <c r="B34" s="100">
        <v>1.1399999999999999</v>
      </c>
      <c r="C34" s="100">
        <v>1.32</v>
      </c>
      <c r="D34" s="70">
        <v>1.4</v>
      </c>
      <c r="E34" s="69"/>
      <c r="G34" s="289">
        <f>VLOOKUP(Rekenblad!F37,Parameters!A83:G86,7,FALSE)</f>
        <v>35</v>
      </c>
      <c r="H34" s="286">
        <v>0.76</v>
      </c>
    </row>
    <row r="35" spans="1:9" ht="15" customHeight="1" x14ac:dyDescent="0.25">
      <c r="A35" s="73" t="s">
        <v>91</v>
      </c>
      <c r="B35" s="100">
        <v>1.1399999999999999</v>
      </c>
      <c r="C35" s="100">
        <v>1.32</v>
      </c>
      <c r="D35" s="70">
        <v>1.4</v>
      </c>
      <c r="E35" s="69"/>
      <c r="G35" s="289">
        <f>VLOOKUP(Rekenblad!F37,Parameters!A83:G86,7,FALSE)</f>
        <v>35</v>
      </c>
      <c r="H35" s="286">
        <v>0.76</v>
      </c>
    </row>
    <row r="36" spans="1:9" ht="14.25" customHeight="1" x14ac:dyDescent="0.25">
      <c r="A36" s="73" t="s">
        <v>60</v>
      </c>
      <c r="B36" s="99">
        <v>1.1399999999999999</v>
      </c>
      <c r="C36" s="99">
        <v>1.3</v>
      </c>
      <c r="D36" s="71">
        <v>1.36</v>
      </c>
      <c r="E36" s="69"/>
      <c r="F36" s="3"/>
      <c r="G36" s="289">
        <f>VLOOKUP(Rekenblad!F37,Parameters!A83:G86,7,FALSE)</f>
        <v>35</v>
      </c>
      <c r="H36" s="286">
        <v>0.76</v>
      </c>
    </row>
    <row r="37" spans="1:9" ht="14.25" customHeight="1" x14ac:dyDescent="0.25">
      <c r="A37" s="73" t="s">
        <v>61</v>
      </c>
      <c r="B37" s="101">
        <v>1.1399999999999999</v>
      </c>
      <c r="C37" s="101">
        <v>1.29</v>
      </c>
      <c r="D37" s="31">
        <v>1.71</v>
      </c>
      <c r="E37" s="69"/>
      <c r="F37" s="3"/>
      <c r="G37" s="289">
        <f>VLOOKUP(Rekenblad!F37,Parameters!A83:G86,7,FALSE)</f>
        <v>35</v>
      </c>
      <c r="H37" s="286">
        <v>0.76</v>
      </c>
    </row>
    <row r="38" spans="1:9" ht="15" customHeight="1" x14ac:dyDescent="0.25">
      <c r="A38" s="73" t="s">
        <v>62</v>
      </c>
      <c r="B38" s="99">
        <v>1.18</v>
      </c>
      <c r="C38" s="99">
        <v>1.28</v>
      </c>
      <c r="D38" s="71">
        <v>2.2400000000000002</v>
      </c>
      <c r="E38" s="69"/>
      <c r="F38" s="3"/>
      <c r="G38" s="289">
        <f>VLOOKUP(Rekenblad!F37,Parameters!A83:G86,7,FALSE)</f>
        <v>35</v>
      </c>
      <c r="H38" s="286">
        <v>0.76</v>
      </c>
    </row>
    <row r="39" spans="1:9" ht="15" customHeight="1" x14ac:dyDescent="0.25">
      <c r="A39" s="73" t="s">
        <v>63</v>
      </c>
      <c r="B39" s="99">
        <v>1.1399999999999999</v>
      </c>
      <c r="C39" s="99">
        <v>1.33</v>
      </c>
      <c r="D39" s="71">
        <v>1.71</v>
      </c>
      <c r="E39" s="79"/>
      <c r="F39" s="3"/>
      <c r="G39" s="289">
        <f>VLOOKUP(Rekenblad!F37,Parameters!A83:G86,7,FALSE)</f>
        <v>35</v>
      </c>
      <c r="H39" s="286">
        <v>0.76</v>
      </c>
    </row>
    <row r="40" spans="1:9" ht="15" customHeight="1" x14ac:dyDescent="0.25">
      <c r="A40" s="35"/>
      <c r="B40" s="71"/>
      <c r="C40" s="71"/>
      <c r="D40" s="71"/>
      <c r="E40" s="71"/>
      <c r="G40" s="285"/>
    </row>
    <row r="41" spans="1:9" ht="15" customHeight="1" thickBot="1" x14ac:dyDescent="0.3">
      <c r="A41" s="111" t="s">
        <v>85</v>
      </c>
      <c r="B41" s="200" t="s">
        <v>113</v>
      </c>
      <c r="C41" s="1"/>
      <c r="E41" s="8"/>
    </row>
    <row r="42" spans="1:9" ht="15" customHeight="1" x14ac:dyDescent="0.25">
      <c r="A42" s="112" t="s">
        <v>114</v>
      </c>
      <c r="B42" s="155">
        <f>0</f>
        <v>0</v>
      </c>
      <c r="C42" s="1"/>
      <c r="G42" s="108"/>
    </row>
    <row r="43" spans="1:9" ht="15" customHeight="1" x14ac:dyDescent="0.25">
      <c r="A43" s="112" t="s">
        <v>84</v>
      </c>
      <c r="B43" s="156">
        <f>Rekenblad!L13-(Rekenblad!L13*Rekenblad!F17/100)</f>
        <v>0</v>
      </c>
      <c r="C43" s="109"/>
      <c r="G43" s="108"/>
      <c r="H43" s="110"/>
      <c r="I43" s="109"/>
    </row>
    <row r="44" spans="1:9" ht="15" customHeight="1" x14ac:dyDescent="0.25">
      <c r="D44" s="1"/>
      <c r="F44" s="3"/>
    </row>
    <row r="45" spans="1:9" ht="15" customHeight="1" thickBot="1" x14ac:dyDescent="0.3">
      <c r="A45" s="14" t="s">
        <v>196</v>
      </c>
      <c r="B45" s="346" t="s">
        <v>178</v>
      </c>
      <c r="C45" s="347"/>
      <c r="D45" s="347"/>
      <c r="E45" s="347"/>
      <c r="F45" s="347"/>
      <c r="G45" s="347"/>
      <c r="H45" s="348"/>
    </row>
    <row r="46" spans="1:9" ht="15" customHeight="1" thickBot="1" x14ac:dyDescent="0.3">
      <c r="A46" s="203" t="s">
        <v>81</v>
      </c>
      <c r="B46" s="212" t="s">
        <v>164</v>
      </c>
      <c r="C46" s="213" t="s">
        <v>165</v>
      </c>
      <c r="D46" s="214" t="s">
        <v>166</v>
      </c>
      <c r="E46" s="213" t="s">
        <v>167</v>
      </c>
      <c r="F46" s="214" t="s">
        <v>168</v>
      </c>
      <c r="G46" s="213" t="s">
        <v>169</v>
      </c>
      <c r="H46" s="215" t="s">
        <v>170</v>
      </c>
    </row>
    <row r="47" spans="1:9" ht="15" customHeight="1" x14ac:dyDescent="0.25">
      <c r="A47" s="203" t="s">
        <v>73</v>
      </c>
      <c r="B47" s="216">
        <v>38</v>
      </c>
      <c r="C47" s="217">
        <v>36</v>
      </c>
      <c r="D47" s="218">
        <v>32</v>
      </c>
      <c r="E47" s="217">
        <v>28</v>
      </c>
      <c r="F47" s="219">
        <v>24</v>
      </c>
      <c r="G47" s="217">
        <v>22</v>
      </c>
      <c r="H47" s="220">
        <v>20</v>
      </c>
    </row>
    <row r="48" spans="1:9" ht="15" customHeight="1" x14ac:dyDescent="0.25">
      <c r="C48" s="1"/>
      <c r="F48" s="221"/>
    </row>
    <row r="49" spans="1:16" ht="15" customHeight="1" thickBot="1" x14ac:dyDescent="0.3">
      <c r="A49" s="14" t="s">
        <v>92</v>
      </c>
      <c r="B49" s="114" t="s">
        <v>22</v>
      </c>
      <c r="C49" s="115" t="s">
        <v>89</v>
      </c>
      <c r="D49" s="114" t="s">
        <v>18</v>
      </c>
      <c r="E49" s="116" t="s">
        <v>90</v>
      </c>
      <c r="F49" s="114" t="s">
        <v>23</v>
      </c>
      <c r="G49" s="22" t="s">
        <v>21</v>
      </c>
    </row>
    <row r="50" spans="1:16" ht="15" customHeight="1" x14ac:dyDescent="0.25">
      <c r="A50" s="27" t="s">
        <v>2</v>
      </c>
      <c r="B50" s="124">
        <v>0</v>
      </c>
      <c r="C50" s="125">
        <v>0</v>
      </c>
      <c r="D50" s="125">
        <v>0</v>
      </c>
      <c r="E50" s="125">
        <v>0</v>
      </c>
      <c r="F50" s="124">
        <v>0</v>
      </c>
      <c r="G50" s="67"/>
    </row>
    <row r="51" spans="1:16" ht="15" customHeight="1" x14ac:dyDescent="0.25">
      <c r="A51" s="27" t="s">
        <v>24</v>
      </c>
      <c r="B51" s="124">
        <f>D51-(D51*40/100)</f>
        <v>11.1</v>
      </c>
      <c r="C51" s="126">
        <f>AVERAGE(B51,D51)</f>
        <v>14.8</v>
      </c>
      <c r="D51" s="127">
        <v>18.5</v>
      </c>
      <c r="E51" s="126">
        <f t="shared" ref="E51:E55" si="12">AVERAGE(D51,F51)</f>
        <v>22.2</v>
      </c>
      <c r="F51" s="133">
        <f>D51+(D51*40/100)</f>
        <v>25.9</v>
      </c>
      <c r="G51" s="20">
        <f>MATCH(Rekenblad!B23,Parameters!A49:A55,0)</f>
        <v>3</v>
      </c>
    </row>
    <row r="52" spans="1:16" ht="15" customHeight="1" x14ac:dyDescent="0.25">
      <c r="A52" s="17" t="s">
        <v>12</v>
      </c>
      <c r="B52" s="124">
        <f>D52-(D52*30/100)</f>
        <v>5.25</v>
      </c>
      <c r="C52" s="126">
        <f t="shared" ref="C52:C55" si="13">AVERAGE(B52,D52)</f>
        <v>6.375</v>
      </c>
      <c r="D52" s="127">
        <v>7.5</v>
      </c>
      <c r="E52" s="126">
        <f t="shared" si="12"/>
        <v>8.625</v>
      </c>
      <c r="F52" s="133">
        <f>D52+(D52*30/100)</f>
        <v>9.75</v>
      </c>
      <c r="G52" s="20">
        <f>MATCH(Rekenblad!D23,Parameters!A49:F49,)</f>
        <v>2</v>
      </c>
    </row>
    <row r="53" spans="1:16" ht="15" customHeight="1" x14ac:dyDescent="0.25">
      <c r="A53" s="17" t="s">
        <v>105</v>
      </c>
      <c r="B53" s="124">
        <f>D53-(D53*30/100)</f>
        <v>14.525</v>
      </c>
      <c r="C53" s="127">
        <f>AVERAGE(B53,D53)</f>
        <v>17.637499999999999</v>
      </c>
      <c r="D53" s="127">
        <v>20.75</v>
      </c>
      <c r="E53" s="127">
        <f>AVERAGE(D53,F53)</f>
        <v>23.862500000000001</v>
      </c>
      <c r="F53" s="133">
        <f>D53+(D53*30/100)</f>
        <v>26.975000000000001</v>
      </c>
      <c r="G53" s="153"/>
      <c r="H53" s="29"/>
    </row>
    <row r="54" spans="1:16" ht="15" customHeight="1" x14ac:dyDescent="0.25">
      <c r="A54" s="17" t="s">
        <v>13</v>
      </c>
      <c r="B54" s="124">
        <f>D54-(D54*30/100)</f>
        <v>3.6749999999999998</v>
      </c>
      <c r="C54" s="126">
        <f t="shared" si="13"/>
        <v>4.4625000000000004</v>
      </c>
      <c r="D54" s="127">
        <v>5.25</v>
      </c>
      <c r="E54" s="126">
        <f t="shared" si="12"/>
        <v>6.0374999999999996</v>
      </c>
      <c r="F54" s="133">
        <f>D54+(D54*30/100)</f>
        <v>6.8250000000000002</v>
      </c>
      <c r="G54" s="29"/>
      <c r="H54" s="29"/>
    </row>
    <row r="55" spans="1:16" ht="15" customHeight="1" x14ac:dyDescent="0.25">
      <c r="A55" s="17" t="s">
        <v>14</v>
      </c>
      <c r="B55" s="124">
        <f>D55-(D55*30/100)</f>
        <v>4.0250000000000004</v>
      </c>
      <c r="C55" s="126">
        <f t="shared" si="13"/>
        <v>4.8875000000000002</v>
      </c>
      <c r="D55" s="127">
        <v>5.75</v>
      </c>
      <c r="E55" s="126">
        <f t="shared" si="12"/>
        <v>6.6124999999999998</v>
      </c>
      <c r="F55" s="133">
        <f>D55+(D55*30/100)</f>
        <v>7.4749999999999996</v>
      </c>
      <c r="G55" s="20"/>
    </row>
    <row r="56" spans="1:16" ht="15" customHeight="1" x14ac:dyDescent="0.25">
      <c r="A56" s="3"/>
      <c r="B56" s="3"/>
      <c r="D56" s="3"/>
      <c r="F56" s="2"/>
      <c r="G56" s="24"/>
    </row>
    <row r="57" spans="1:16" ht="15" customHeight="1" thickBot="1" x14ac:dyDescent="0.3">
      <c r="A57" s="14" t="s">
        <v>93</v>
      </c>
      <c r="B57" s="19" t="s">
        <v>22</v>
      </c>
      <c r="C57" s="117" t="s">
        <v>89</v>
      </c>
      <c r="D57" s="19" t="s">
        <v>18</v>
      </c>
      <c r="E57" s="117" t="s">
        <v>90</v>
      </c>
      <c r="F57" s="118" t="s">
        <v>23</v>
      </c>
      <c r="G57" s="22" t="s">
        <v>21</v>
      </c>
    </row>
    <row r="58" spans="1:16" ht="15" customHeight="1" x14ac:dyDescent="0.25">
      <c r="A58" s="17" t="s">
        <v>2</v>
      </c>
      <c r="B58" s="129">
        <v>0</v>
      </c>
      <c r="C58" s="125">
        <v>0</v>
      </c>
      <c r="D58" s="157">
        <v>0</v>
      </c>
      <c r="E58" s="125">
        <v>0</v>
      </c>
      <c r="F58" s="130">
        <v>0</v>
      </c>
      <c r="G58" s="29"/>
      <c r="H58" s="29"/>
    </row>
    <row r="59" spans="1:16" ht="15" customHeight="1" x14ac:dyDescent="0.25">
      <c r="A59" s="17" t="s">
        <v>46</v>
      </c>
      <c r="B59" s="131">
        <f>D59-(D59*30/100)</f>
        <v>16.45</v>
      </c>
      <c r="C59" s="132">
        <f t="shared" ref="C59:C62" si="14">AVERAGE(B59,D59)</f>
        <v>19.975000000000001</v>
      </c>
      <c r="D59" s="158">
        <v>23.5</v>
      </c>
      <c r="E59" s="132">
        <f t="shared" ref="E59:E62" si="15">AVERAGE(D59,F59)</f>
        <v>27.024999999999999</v>
      </c>
      <c r="F59" s="133">
        <f>D59+(D59*30/100)</f>
        <v>30.55</v>
      </c>
      <c r="G59" s="20">
        <f>MATCH(Rekenblad!B25,Parameters!A57:A62,0)</f>
        <v>3</v>
      </c>
    </row>
    <row r="60" spans="1:16" ht="15" customHeight="1" x14ac:dyDescent="0.25">
      <c r="A60" s="17" t="s">
        <v>104</v>
      </c>
      <c r="B60" s="126">
        <f>D60-(D60*(30/100))</f>
        <v>8.68</v>
      </c>
      <c r="C60" s="126">
        <f t="shared" si="14"/>
        <v>10.54</v>
      </c>
      <c r="D60" s="158">
        <v>12.4</v>
      </c>
      <c r="E60" s="126">
        <f t="shared" si="15"/>
        <v>14.260000000000002</v>
      </c>
      <c r="F60" s="133">
        <f>D60+(D60*30/100)</f>
        <v>16.12</v>
      </c>
      <c r="G60" s="20">
        <f>MATCH(Rekenblad!D25,Parameters!A57:F57,0)</f>
        <v>2</v>
      </c>
    </row>
    <row r="61" spans="1:16" ht="15" customHeight="1" x14ac:dyDescent="0.25">
      <c r="A61" s="17" t="s">
        <v>15</v>
      </c>
      <c r="B61" s="126">
        <f>D61-(D61*30/100)</f>
        <v>2.2400000000000002</v>
      </c>
      <c r="C61" s="126">
        <f t="shared" si="14"/>
        <v>2.72</v>
      </c>
      <c r="D61" s="158">
        <v>3.2</v>
      </c>
      <c r="E61" s="126">
        <f t="shared" si="15"/>
        <v>3.68</v>
      </c>
      <c r="F61" s="128">
        <f>D61+(D61*30/100)</f>
        <v>4.16</v>
      </c>
      <c r="G61" s="29"/>
      <c r="H61" s="29"/>
    </row>
    <row r="62" spans="1:16" ht="15" customHeight="1" x14ac:dyDescent="0.25">
      <c r="A62" s="17" t="s">
        <v>25</v>
      </c>
      <c r="B62" s="126">
        <f>D62-(D62*(30/100))</f>
        <v>4.34</v>
      </c>
      <c r="C62" s="126">
        <f t="shared" si="14"/>
        <v>5.27</v>
      </c>
      <c r="D62" s="158">
        <v>6.2</v>
      </c>
      <c r="E62" s="126">
        <f t="shared" si="15"/>
        <v>7.1300000000000008</v>
      </c>
      <c r="F62" s="128">
        <f>D62+(D62*30/100)</f>
        <v>8.06</v>
      </c>
      <c r="G62" s="21"/>
    </row>
    <row r="63" spans="1:16" ht="15" customHeight="1" x14ac:dyDescent="0.25">
      <c r="A63" s="3"/>
      <c r="B63" s="3"/>
      <c r="D63" s="3"/>
      <c r="F63" s="2"/>
      <c r="G63" s="25"/>
    </row>
    <row r="64" spans="1:16" ht="15" customHeight="1" thickBot="1" x14ac:dyDescent="0.3">
      <c r="A64" s="14" t="s">
        <v>192</v>
      </c>
      <c r="B64" s="19" t="s">
        <v>22</v>
      </c>
      <c r="C64" s="119" t="s">
        <v>89</v>
      </c>
      <c r="D64" s="19" t="s">
        <v>18</v>
      </c>
      <c r="E64" s="117" t="s">
        <v>90</v>
      </c>
      <c r="F64" s="15" t="s">
        <v>23</v>
      </c>
      <c r="G64" s="22" t="s">
        <v>21</v>
      </c>
      <c r="H64" s="285"/>
      <c r="I64" s="250" t="s">
        <v>125</v>
      </c>
      <c r="J64" s="250"/>
      <c r="K64" s="250"/>
      <c r="L64" s="250"/>
      <c r="M64" s="251"/>
      <c r="N64" s="248"/>
      <c r="O64" s="248"/>
      <c r="P64" s="296"/>
    </row>
    <row r="65" spans="1:16" ht="15" customHeight="1" x14ac:dyDescent="0.25">
      <c r="A65" s="27" t="s">
        <v>2</v>
      </c>
      <c r="B65" s="127">
        <v>0</v>
      </c>
      <c r="C65" s="126">
        <v>0</v>
      </c>
      <c r="D65" s="125">
        <v>0</v>
      </c>
      <c r="E65" s="125">
        <v>0</v>
      </c>
      <c r="F65" s="134">
        <v>0</v>
      </c>
      <c r="G65" s="28"/>
      <c r="H65" s="285"/>
      <c r="I65" s="252" t="s">
        <v>144</v>
      </c>
      <c r="J65" s="253">
        <f>Rekenblad!L17/Rekenblad!H37</f>
        <v>0</v>
      </c>
      <c r="K65" s="254" t="s">
        <v>126</v>
      </c>
      <c r="L65" s="249">
        <f>J65</f>
        <v>0</v>
      </c>
      <c r="M65" s="247" t="s">
        <v>127</v>
      </c>
      <c r="N65" s="255">
        <f>VLOOKUP(Rekenblad!B13,Parameters!A24:G39,7,FALSE)</f>
        <v>45</v>
      </c>
      <c r="O65" s="247" t="s">
        <v>173</v>
      </c>
      <c r="P65" s="296"/>
    </row>
    <row r="66" spans="1:16" ht="15" customHeight="1" x14ac:dyDescent="0.25">
      <c r="A66" s="17" t="s">
        <v>189</v>
      </c>
      <c r="B66" s="126">
        <f>D66-(D66*30/100)</f>
        <v>5.4249999999999998</v>
      </c>
      <c r="C66" s="126">
        <f t="shared" ref="C66:C68" si="16">AVERAGE(B66,D66)</f>
        <v>6.5875000000000004</v>
      </c>
      <c r="D66" s="127">
        <v>7.75</v>
      </c>
      <c r="E66" s="126">
        <f t="shared" ref="E66:E68" si="17">AVERAGE(D66,F66)</f>
        <v>8.9124999999999996</v>
      </c>
      <c r="F66" s="128">
        <f>D66+(D66*30/100)</f>
        <v>10.074999999999999</v>
      </c>
      <c r="G66" s="20">
        <f>MATCH(Rekenblad!B27,Parameters!A64:A69,0)</f>
        <v>3</v>
      </c>
      <c r="H66" s="285"/>
      <c r="I66" s="252" t="s">
        <v>106</v>
      </c>
      <c r="J66" s="249">
        <f>Rekenblad!L17*Rekenblad!L37</f>
        <v>0</v>
      </c>
      <c r="K66" s="254" t="s">
        <v>128</v>
      </c>
      <c r="L66" s="253">
        <f>Rekenblad!H44</f>
        <v>0</v>
      </c>
      <c r="M66" s="247" t="s">
        <v>129</v>
      </c>
      <c r="N66" s="256">
        <f>IF($B$37&lt;=35%,Parameters!$B$47,IF(Rekenblad!B37&lt;=40%,Parameters!$C$47,IF(Rekenblad!B37&lt;=45%,Parameters!$D$47,IF(Rekenblad!B37&lt;=50%,Parameters!$E$47,IF(Rekenblad!B37&lt;=55%,Parameters!$F$47,IF(Rekenblad!B37&lt;=60%,Parameters!$G$47,Parameters!$H$47))))))</f>
        <v>22</v>
      </c>
      <c r="O66" s="247" t="s">
        <v>174</v>
      </c>
      <c r="P66" s="296"/>
    </row>
    <row r="67" spans="1:16" ht="15" customHeight="1" x14ac:dyDescent="0.25">
      <c r="A67" s="17" t="s">
        <v>191</v>
      </c>
      <c r="B67" s="126">
        <f t="shared" ref="B67:B68" si="18">D67-(D67*30/100)</f>
        <v>9.9749999999999996</v>
      </c>
      <c r="C67" s="126">
        <f t="shared" si="16"/>
        <v>12.112500000000001</v>
      </c>
      <c r="D67" s="127">
        <v>14.25</v>
      </c>
      <c r="E67" s="126">
        <f t="shared" si="17"/>
        <v>16.387499999999999</v>
      </c>
      <c r="F67" s="128">
        <f t="shared" ref="F67:F68" si="19">D67+(D67*30/100)</f>
        <v>18.524999999999999</v>
      </c>
      <c r="G67" s="20">
        <f>MATCH(Rekenblad!D27,Parameters!A64:F64,0)</f>
        <v>2</v>
      </c>
      <c r="H67" s="285"/>
      <c r="I67" s="252" t="s">
        <v>106</v>
      </c>
      <c r="J67" s="249">
        <f>Rekenblad!L17*Rekenblad!L37</f>
        <v>0</v>
      </c>
      <c r="K67" s="254" t="s">
        <v>128</v>
      </c>
      <c r="L67" s="253">
        <f>Rekenblad!H44</f>
        <v>0</v>
      </c>
      <c r="M67" s="247" t="s">
        <v>129</v>
      </c>
      <c r="N67" s="256">
        <f>IF($B$37&lt;=35%,Parameters!$B$47,IF(Rekenblad!B37&lt;=40%,Parameters!$C$47,IF(Rekenblad!B37&lt;=45%,Parameters!$D$47,IF(Rekenblad!B37&lt;=50%,Parameters!$E$47,IF(Rekenblad!B37&lt;=55%,Parameters!$F$47,IF(Rekenblad!B37&lt;=60%,Parameters!$G$47,Parameters!$H$47))))))</f>
        <v>22</v>
      </c>
      <c r="O67" s="247" t="s">
        <v>174</v>
      </c>
      <c r="P67" s="296"/>
    </row>
    <row r="68" spans="1:16" ht="15" customHeight="1" x14ac:dyDescent="0.25">
      <c r="A68" s="17" t="s">
        <v>190</v>
      </c>
      <c r="B68" s="126">
        <f t="shared" si="18"/>
        <v>6.5449999999999999</v>
      </c>
      <c r="C68" s="126">
        <f t="shared" si="16"/>
        <v>7.9474999999999998</v>
      </c>
      <c r="D68" s="127">
        <v>9.35</v>
      </c>
      <c r="E68" s="126">
        <f t="shared" si="17"/>
        <v>10.7525</v>
      </c>
      <c r="F68" s="128">
        <f t="shared" si="19"/>
        <v>12.154999999999999</v>
      </c>
      <c r="G68" s="20"/>
      <c r="H68" s="285"/>
      <c r="I68" s="252" t="s">
        <v>106</v>
      </c>
      <c r="J68" s="249">
        <f>Rekenblad!L17*Rekenblad!L37</f>
        <v>0</v>
      </c>
      <c r="K68" s="254" t="s">
        <v>128</v>
      </c>
      <c r="L68" s="253">
        <f>Rekenblad!H44</f>
        <v>0</v>
      </c>
      <c r="M68" s="247" t="s">
        <v>129</v>
      </c>
      <c r="N68" s="256">
        <f>IF($B$37&lt;=35%,Parameters!$B$47,IF(Rekenblad!B37&lt;=40%,Parameters!$C$47,IF(Rekenblad!B37&lt;=45%,Parameters!$D$47,IF(Rekenblad!B37&lt;=50%,Parameters!$E$47,IF(Rekenblad!B37&lt;=55%,Parameters!$F$47,IF(Rekenblad!B37&lt;=60%,Parameters!$G$47,Parameters!$H$47))))))</f>
        <v>22</v>
      </c>
      <c r="O68" s="247" t="s">
        <v>174</v>
      </c>
      <c r="P68" s="296"/>
    </row>
    <row r="69" spans="1:16" ht="15" customHeight="1" x14ac:dyDescent="0.25">
      <c r="A69" s="203" t="s">
        <v>119</v>
      </c>
      <c r="B69" s="135">
        <f>VLOOKUP(Rekenblad!F37,Parameters!A83:E86,3,FALSE)</f>
        <v>4</v>
      </c>
      <c r="C69" s="160">
        <f>AVERAGE(B69,D69)</f>
        <v>5</v>
      </c>
      <c r="D69" s="135">
        <f>VLOOKUP(Rekenblad!F37,Parameters!A83:E86,4,FALSE)</f>
        <v>6</v>
      </c>
      <c r="E69" s="160">
        <f>AVERAGE(D69,F69)</f>
        <v>7</v>
      </c>
      <c r="F69" s="161">
        <f>VLOOKUP(Rekenblad!F37,Parameters!A83:E86,5,FALSE)</f>
        <v>8</v>
      </c>
      <c r="G69" s="159"/>
      <c r="H69" s="295"/>
      <c r="I69" s="252" t="s">
        <v>144</v>
      </c>
      <c r="J69" s="253">
        <f>Rekenblad!L17/Rekenblad!H37</f>
        <v>0</v>
      </c>
      <c r="K69" s="254" t="s">
        <v>126</v>
      </c>
      <c r="L69" s="249">
        <f>J69</f>
        <v>0</v>
      </c>
      <c r="M69" s="247" t="s">
        <v>127</v>
      </c>
      <c r="N69" s="257">
        <f>N65</f>
        <v>45</v>
      </c>
      <c r="O69" s="247" t="s">
        <v>173</v>
      </c>
      <c r="P69" s="296"/>
    </row>
    <row r="70" spans="1:16" ht="15" customHeight="1" x14ac:dyDescent="0.25">
      <c r="F70" s="1"/>
      <c r="G70" s="26"/>
      <c r="H70" s="285"/>
      <c r="I70" s="297"/>
      <c r="J70" s="297"/>
      <c r="K70" s="297"/>
      <c r="L70" s="297"/>
      <c r="M70" s="248"/>
      <c r="N70" s="296"/>
      <c r="O70" s="296"/>
      <c r="P70" s="296"/>
    </row>
    <row r="71" spans="1:16" ht="15" customHeight="1" thickBot="1" x14ac:dyDescent="0.3">
      <c r="A71" s="14" t="s">
        <v>197</v>
      </c>
      <c r="B71" s="19" t="s">
        <v>22</v>
      </c>
      <c r="C71" s="119" t="s">
        <v>89</v>
      </c>
      <c r="D71" s="16" t="s">
        <v>18</v>
      </c>
      <c r="E71" s="115" t="s">
        <v>90</v>
      </c>
      <c r="F71" s="15" t="s">
        <v>23</v>
      </c>
      <c r="G71" s="22" t="s">
        <v>21</v>
      </c>
      <c r="H71" s="285"/>
      <c r="I71" s="285"/>
      <c r="J71" s="285"/>
      <c r="K71" s="285"/>
      <c r="L71" s="285"/>
      <c r="M71" s="285"/>
      <c r="N71" s="285"/>
      <c r="O71" s="285"/>
      <c r="P71" s="285"/>
    </row>
    <row r="72" spans="1:16" ht="15" customHeight="1" x14ac:dyDescent="0.25">
      <c r="A72" s="18" t="s">
        <v>2</v>
      </c>
      <c r="B72" s="129">
        <v>0</v>
      </c>
      <c r="C72" s="124">
        <v>0</v>
      </c>
      <c r="D72" s="130">
        <f>AVERAGE(B72,F72)</f>
        <v>0</v>
      </c>
      <c r="E72" s="125">
        <v>0</v>
      </c>
      <c r="F72" s="130">
        <v>0</v>
      </c>
      <c r="G72" s="20">
        <f>MATCH(Rekenblad!B29,Parameters!A71:A73,0)</f>
        <v>3</v>
      </c>
    </row>
    <row r="73" spans="1:16" ht="15" customHeight="1" x14ac:dyDescent="0.25">
      <c r="A73" s="17" t="s">
        <v>185</v>
      </c>
      <c r="B73" s="126">
        <f>D73-(D73*30/100)</f>
        <v>1.925</v>
      </c>
      <c r="C73" s="126">
        <f>AVERAGE(B73,D73)</f>
        <v>2.3374999999999999</v>
      </c>
      <c r="D73" s="135">
        <v>2.75</v>
      </c>
      <c r="E73" s="126">
        <f>AVERAGE(D73,F73)</f>
        <v>3.1625000000000001</v>
      </c>
      <c r="F73" s="128">
        <f>D73+(D73*30/100)</f>
        <v>3.5750000000000002</v>
      </c>
      <c r="G73" s="21">
        <f>MATCH(Rekenblad!D29,Parameters!A71:F71,0)</f>
        <v>2</v>
      </c>
    </row>
    <row r="74" spans="1:16" ht="15" customHeight="1" x14ac:dyDescent="0.25"/>
    <row r="75" spans="1:16" ht="15" customHeight="1" thickBot="1" x14ac:dyDescent="0.3">
      <c r="A75" s="5" t="s">
        <v>80</v>
      </c>
      <c r="B75" s="6" t="s">
        <v>10</v>
      </c>
    </row>
    <row r="76" spans="1:16" ht="15" customHeight="1" x14ac:dyDescent="0.25">
      <c r="A76" s="11" t="s">
        <v>34</v>
      </c>
      <c r="B76" s="12">
        <v>2.46</v>
      </c>
      <c r="D76" s="8"/>
    </row>
    <row r="77" spans="1:16" ht="15" customHeight="1" x14ac:dyDescent="0.25">
      <c r="A77" s="4" t="s">
        <v>6</v>
      </c>
      <c r="B77" s="9">
        <v>2.25</v>
      </c>
      <c r="D77" s="8"/>
    </row>
    <row r="78" spans="1:16" ht="15" customHeight="1" x14ac:dyDescent="0.25">
      <c r="A78" s="4" t="s">
        <v>3</v>
      </c>
      <c r="B78" s="9">
        <v>2.5</v>
      </c>
    </row>
    <row r="79" spans="1:16" ht="15" customHeight="1" x14ac:dyDescent="0.25">
      <c r="A79" s="4" t="s">
        <v>4</v>
      </c>
      <c r="B79" s="9">
        <v>2.75</v>
      </c>
    </row>
    <row r="80" spans="1:16" ht="15" customHeight="1" x14ac:dyDescent="0.25">
      <c r="A80" s="4" t="s">
        <v>5</v>
      </c>
      <c r="B80" s="9">
        <v>3.03</v>
      </c>
    </row>
    <row r="81" spans="1:7" ht="15" customHeight="1" thickBot="1" x14ac:dyDescent="0.3">
      <c r="A81" s="83"/>
      <c r="B81" s="71"/>
      <c r="C81" s="197"/>
      <c r="D81" s="198" t="s">
        <v>134</v>
      </c>
      <c r="E81" s="199"/>
      <c r="F81" s="344" t="s">
        <v>172</v>
      </c>
      <c r="G81" s="345"/>
    </row>
    <row r="82" spans="1:7" ht="15" customHeight="1" thickBot="1" x14ac:dyDescent="0.3">
      <c r="A82" s="162" t="s">
        <v>120</v>
      </c>
      <c r="B82" s="163" t="s">
        <v>121</v>
      </c>
      <c r="C82" s="114" t="s">
        <v>22</v>
      </c>
      <c r="D82" s="114" t="s">
        <v>18</v>
      </c>
      <c r="E82" s="114" t="s">
        <v>23</v>
      </c>
      <c r="F82" s="178" t="s">
        <v>132</v>
      </c>
      <c r="G82" s="178" t="s">
        <v>133</v>
      </c>
    </row>
    <row r="83" spans="1:7" ht="15" customHeight="1" x14ac:dyDescent="0.25">
      <c r="A83" s="202" t="s">
        <v>122</v>
      </c>
      <c r="B83" s="283">
        <f>B85*(1-0.5)</f>
        <v>0.38500000000000001</v>
      </c>
      <c r="C83" s="164">
        <v>12</v>
      </c>
      <c r="D83" s="164">
        <f>AVERAGE(C83,E83)</f>
        <v>18</v>
      </c>
      <c r="E83" s="157">
        <v>24</v>
      </c>
      <c r="F83" s="211">
        <v>60</v>
      </c>
      <c r="G83" s="179">
        <v>50</v>
      </c>
    </row>
    <row r="84" spans="1:7" ht="15" customHeight="1" x14ac:dyDescent="0.25">
      <c r="A84" s="202" t="s">
        <v>123</v>
      </c>
      <c r="B84" s="284">
        <f>B85*(1-0.35)</f>
        <v>0.50050000000000006</v>
      </c>
      <c r="C84" s="135">
        <v>11</v>
      </c>
      <c r="D84" s="135">
        <f>AVERAGE(C84,E84)</f>
        <v>17</v>
      </c>
      <c r="E84" s="165">
        <v>23</v>
      </c>
      <c r="F84" s="196">
        <v>55</v>
      </c>
      <c r="G84" s="180">
        <v>45</v>
      </c>
    </row>
    <row r="85" spans="1:7" ht="15" customHeight="1" x14ac:dyDescent="0.25">
      <c r="A85" s="202" t="s">
        <v>145</v>
      </c>
      <c r="B85" s="70">
        <f>VLOOKUP(Rekenblad!B13,Parameters!A24:H39,8,FALSE)</f>
        <v>0.77</v>
      </c>
      <c r="C85" s="165">
        <v>9</v>
      </c>
      <c r="D85" s="165">
        <f>AVERAGE(C85,E85)</f>
        <v>14</v>
      </c>
      <c r="E85" s="165">
        <v>19</v>
      </c>
      <c r="F85" s="196">
        <v>50</v>
      </c>
      <c r="G85" s="180">
        <v>40</v>
      </c>
    </row>
    <row r="86" spans="1:7" ht="15" customHeight="1" x14ac:dyDescent="0.25">
      <c r="A86" s="202" t="s">
        <v>146</v>
      </c>
      <c r="B86" s="156">
        <f>B85*(1+0.05)</f>
        <v>0.80850000000000011</v>
      </c>
      <c r="C86" s="135">
        <v>4</v>
      </c>
      <c r="D86" s="135">
        <f>AVERAGE(C86,E86)</f>
        <v>6</v>
      </c>
      <c r="E86" s="165">
        <v>8</v>
      </c>
      <c r="F86" s="196">
        <v>45</v>
      </c>
      <c r="G86" s="180">
        <v>35</v>
      </c>
    </row>
    <row r="87" spans="1:7" ht="15" customHeight="1" x14ac:dyDescent="0.25">
      <c r="F87" s="177"/>
    </row>
    <row r="88" spans="1:7" ht="15" customHeight="1" thickBot="1" x14ac:dyDescent="0.3">
      <c r="A88" s="14" t="s">
        <v>82</v>
      </c>
      <c r="B88" s="282" t="s">
        <v>116</v>
      </c>
      <c r="C88" s="281" t="s">
        <v>177</v>
      </c>
      <c r="E88" s="5" t="s">
        <v>158</v>
      </c>
      <c r="F88" s="205" t="s">
        <v>151</v>
      </c>
      <c r="G88" s="206" t="s">
        <v>152</v>
      </c>
    </row>
    <row r="89" spans="1:7" ht="15" customHeight="1" x14ac:dyDescent="0.25">
      <c r="A89" s="17" t="s">
        <v>108</v>
      </c>
      <c r="B89" s="135">
        <f>55/60</f>
        <v>0.91666666666666663</v>
      </c>
      <c r="C89" s="80">
        <v>30</v>
      </c>
      <c r="E89" s="207" t="s">
        <v>153</v>
      </c>
      <c r="F89" s="208" t="s">
        <v>159</v>
      </c>
      <c r="G89" s="209" t="s">
        <v>160</v>
      </c>
    </row>
    <row r="90" spans="1:7" ht="15" customHeight="1" x14ac:dyDescent="0.25">
      <c r="A90" s="17" t="s">
        <v>110</v>
      </c>
      <c r="B90" s="135">
        <f>65/60</f>
        <v>1.0833333333333333</v>
      </c>
      <c r="C90" s="80">
        <v>30</v>
      </c>
      <c r="E90" s="207" t="s">
        <v>154</v>
      </c>
      <c r="F90" s="208" t="s">
        <v>155</v>
      </c>
      <c r="G90" s="209" t="s">
        <v>156</v>
      </c>
    </row>
    <row r="91" spans="1:7" ht="15" customHeight="1" x14ac:dyDescent="0.25">
      <c r="A91" s="17" t="s">
        <v>109</v>
      </c>
      <c r="B91" s="135">
        <f>65/60</f>
        <v>1.0833333333333333</v>
      </c>
      <c r="C91" s="80">
        <v>60</v>
      </c>
      <c r="E91" s="207" t="s">
        <v>157</v>
      </c>
      <c r="F91" s="208" t="s">
        <v>161</v>
      </c>
      <c r="G91" s="209" t="s">
        <v>156</v>
      </c>
    </row>
    <row r="92" spans="1:7" ht="15" customHeight="1" x14ac:dyDescent="0.25">
      <c r="A92" s="17" t="s">
        <v>111</v>
      </c>
      <c r="B92" s="135">
        <f>65/60</f>
        <v>1.0833333333333333</v>
      </c>
      <c r="C92" s="80">
        <v>40</v>
      </c>
    </row>
    <row r="93" spans="1:7" ht="15" customHeight="1" x14ac:dyDescent="0.25">
      <c r="A93" s="17" t="s">
        <v>112</v>
      </c>
      <c r="B93" s="135">
        <f>65/60</f>
        <v>1.0833333333333333</v>
      </c>
      <c r="C93" s="80">
        <v>80</v>
      </c>
    </row>
    <row r="94" spans="1:7" ht="15" customHeight="1" x14ac:dyDescent="0.25">
      <c r="A94" s="17" t="s">
        <v>187</v>
      </c>
      <c r="B94" s="135">
        <f>65/60</f>
        <v>1.0833333333333333</v>
      </c>
      <c r="C94" s="71">
        <v>90</v>
      </c>
      <c r="E94" s="204"/>
    </row>
    <row r="95" spans="1:7" ht="15" customHeight="1" x14ac:dyDescent="0.25">
      <c r="A95" s="2"/>
      <c r="B95" s="9"/>
      <c r="C95" s="3"/>
    </row>
    <row r="96" spans="1:7" ht="15" customHeight="1" thickBot="1" x14ac:dyDescent="0.3">
      <c r="A96" s="14" t="s">
        <v>75</v>
      </c>
      <c r="B96" s="30"/>
      <c r="C96" s="3"/>
    </row>
    <row r="97" spans="1:6" ht="15" customHeight="1" x14ac:dyDescent="0.25">
      <c r="A97" s="18" t="s">
        <v>76</v>
      </c>
      <c r="B97" s="130">
        <v>35</v>
      </c>
      <c r="C97" s="3"/>
    </row>
    <row r="98" spans="1:6" ht="15" customHeight="1" x14ac:dyDescent="0.25">
      <c r="A98" s="17" t="s">
        <v>77</v>
      </c>
      <c r="B98" s="136">
        <f>B97/60</f>
        <v>0.58333333333333337</v>
      </c>
      <c r="C98" s="3"/>
    </row>
    <row r="99" spans="1:6" ht="15" customHeight="1" x14ac:dyDescent="0.25">
      <c r="A99" s="2"/>
      <c r="B99" s="9"/>
      <c r="C99" s="8"/>
    </row>
    <row r="100" spans="1:6" ht="15" customHeight="1" thickBot="1" x14ac:dyDescent="0.3">
      <c r="A100" s="14" t="s">
        <v>16</v>
      </c>
      <c r="B100" s="246" t="s">
        <v>73</v>
      </c>
    </row>
    <row r="101" spans="1:6" ht="15" customHeight="1" x14ac:dyDescent="0.25">
      <c r="A101" s="264" t="s">
        <v>0</v>
      </c>
      <c r="B101" s="265">
        <v>0</v>
      </c>
      <c r="D101" s="7"/>
    </row>
    <row r="102" spans="1:6" ht="15" customHeight="1" x14ac:dyDescent="0.25">
      <c r="A102" s="266" t="s">
        <v>1</v>
      </c>
      <c r="B102" s="265">
        <v>1.5</v>
      </c>
    </row>
    <row r="103" spans="1:6" ht="15" customHeight="1" x14ac:dyDescent="0.25"/>
    <row r="104" spans="1:6" ht="15" customHeight="1" thickBot="1" x14ac:dyDescent="0.3">
      <c r="A104" s="267" t="s">
        <v>74</v>
      </c>
      <c r="B104" s="268" t="s">
        <v>44</v>
      </c>
      <c r="C104" s="268" t="s">
        <v>20</v>
      </c>
      <c r="D104" s="268" t="s">
        <v>19</v>
      </c>
      <c r="E104" s="269" t="s">
        <v>31</v>
      </c>
      <c r="F104" s="1"/>
    </row>
    <row r="105" spans="1:6" x14ac:dyDescent="0.25">
      <c r="A105" s="18" t="s">
        <v>30</v>
      </c>
      <c r="B105" s="129">
        <f>Rekenblad!L23</f>
        <v>0</v>
      </c>
      <c r="C105" s="129">
        <f>SUM(B105:B110)</f>
        <v>0</v>
      </c>
      <c r="D105" s="129">
        <f>Rekenblad!L57</f>
        <v>0</v>
      </c>
      <c r="E105" s="270">
        <f>Rekenblad!L61</f>
        <v>0</v>
      </c>
    </row>
    <row r="106" spans="1:6" x14ac:dyDescent="0.25">
      <c r="A106" s="18" t="s">
        <v>138</v>
      </c>
      <c r="B106" s="128">
        <f>Rekenblad!L25</f>
        <v>0</v>
      </c>
    </row>
    <row r="107" spans="1:6" x14ac:dyDescent="0.25">
      <c r="A107" s="18" t="s">
        <v>130</v>
      </c>
      <c r="B107" s="128">
        <f>Rekenblad!L27</f>
        <v>0</v>
      </c>
    </row>
    <row r="108" spans="1:6" x14ac:dyDescent="0.25">
      <c r="A108" s="18" t="s">
        <v>143</v>
      </c>
      <c r="B108" s="128">
        <f>Rekenblad!L29</f>
        <v>0</v>
      </c>
    </row>
    <row r="109" spans="1:6" x14ac:dyDescent="0.25">
      <c r="A109" s="18" t="s">
        <v>29</v>
      </c>
      <c r="B109" s="128">
        <f>Rekenblad!L47</f>
        <v>0</v>
      </c>
    </row>
    <row r="110" spans="1:6" x14ac:dyDescent="0.25">
      <c r="A110" s="18" t="s">
        <v>33</v>
      </c>
      <c r="B110" s="128">
        <f>Rekenblad!L52</f>
        <v>0</v>
      </c>
    </row>
    <row r="111" spans="1:6" x14ac:dyDescent="0.25">
      <c r="B111" s="32"/>
      <c r="D111" s="1"/>
    </row>
    <row r="113" spans="1:11" x14ac:dyDescent="0.25">
      <c r="A113" s="340" t="s">
        <v>40</v>
      </c>
      <c r="B113" s="340"/>
      <c r="C113" s="340"/>
      <c r="D113" s="340"/>
      <c r="E113" s="340"/>
      <c r="F113" s="340"/>
      <c r="G113" s="340"/>
      <c r="H113" s="340"/>
      <c r="I113" s="340"/>
      <c r="J113" s="340"/>
    </row>
    <row r="114" spans="1:11" s="3" customFormat="1" ht="6" customHeight="1" x14ac:dyDescent="0.25">
      <c r="A114" s="107"/>
      <c r="B114" s="107"/>
      <c r="C114" s="107"/>
      <c r="D114" s="107"/>
      <c r="E114" s="107"/>
      <c r="F114" s="107"/>
      <c r="G114" s="107"/>
      <c r="H114" s="107"/>
      <c r="I114" s="107"/>
      <c r="J114" s="107"/>
    </row>
    <row r="115" spans="1:11" x14ac:dyDescent="0.25">
      <c r="B115" s="341" t="s">
        <v>176</v>
      </c>
      <c r="C115" s="341"/>
      <c r="D115" s="341"/>
      <c r="E115" s="341"/>
      <c r="F115" s="341"/>
      <c r="G115" s="341"/>
      <c r="H115" s="341"/>
      <c r="I115" s="341"/>
      <c r="J115" s="341"/>
    </row>
    <row r="116" spans="1:11" ht="15" customHeight="1" x14ac:dyDescent="0.25">
      <c r="B116" s="349" t="s">
        <v>41</v>
      </c>
      <c r="C116" s="349"/>
      <c r="D116" s="349"/>
      <c r="E116" s="349"/>
      <c r="F116" s="349"/>
      <c r="G116" s="349"/>
      <c r="H116" s="349"/>
      <c r="I116" s="349"/>
      <c r="J116" s="349"/>
    </row>
    <row r="117" spans="1:11" ht="15" customHeight="1" x14ac:dyDescent="0.25">
      <c r="B117" s="349" t="s">
        <v>42</v>
      </c>
      <c r="C117" s="349"/>
      <c r="D117" s="349"/>
      <c r="E117" s="349"/>
      <c r="F117" s="349"/>
      <c r="G117" s="349"/>
      <c r="H117" s="349"/>
      <c r="I117" s="349"/>
      <c r="J117" s="349"/>
    </row>
    <row r="118" spans="1:11" x14ac:dyDescent="0.25">
      <c r="A118" s="1"/>
      <c r="B118" s="349"/>
      <c r="C118" s="349"/>
      <c r="D118" s="349"/>
      <c r="E118" s="349"/>
      <c r="F118" s="349"/>
      <c r="G118" s="349"/>
      <c r="H118" s="349"/>
      <c r="I118" s="349"/>
      <c r="J118" s="349"/>
    </row>
    <row r="119" spans="1:11" ht="15" customHeight="1" x14ac:dyDescent="0.25">
      <c r="B119" s="349" t="s">
        <v>43</v>
      </c>
      <c r="C119" s="349"/>
      <c r="D119" s="349"/>
      <c r="E119" s="349"/>
      <c r="F119" s="349"/>
      <c r="G119" s="349"/>
      <c r="H119" s="349"/>
      <c r="I119" s="349"/>
      <c r="J119" s="349"/>
    </row>
    <row r="120" spans="1:11" x14ac:dyDescent="0.25">
      <c r="B120" s="341" t="s">
        <v>95</v>
      </c>
      <c r="C120" s="341"/>
      <c r="D120" s="341"/>
      <c r="E120" s="341"/>
      <c r="F120" s="341"/>
      <c r="G120" s="341"/>
      <c r="H120" s="341"/>
      <c r="I120" s="341"/>
      <c r="J120" s="341"/>
    </row>
    <row r="121" spans="1:11" x14ac:dyDescent="0.25">
      <c r="B121" s="341" t="s">
        <v>71</v>
      </c>
      <c r="C121" s="341"/>
      <c r="D121" s="341"/>
      <c r="E121" s="341"/>
      <c r="F121" s="341"/>
      <c r="G121" s="341"/>
      <c r="H121" s="341"/>
      <c r="I121" s="341"/>
      <c r="J121" s="341"/>
    </row>
    <row r="124" spans="1:11" x14ac:dyDescent="0.25">
      <c r="A124" s="340" t="s">
        <v>184</v>
      </c>
      <c r="B124" s="340"/>
      <c r="C124" s="340"/>
      <c r="D124" s="340"/>
      <c r="E124" s="340"/>
      <c r="F124" s="340"/>
      <c r="G124" s="340"/>
      <c r="H124" s="340"/>
      <c r="I124" s="340"/>
      <c r="J124" s="340"/>
      <c r="K124" s="340"/>
    </row>
    <row r="125" spans="1:11" ht="5.25" customHeight="1" x14ac:dyDescent="0.25"/>
    <row r="126" spans="1:11" ht="18.75" x14ac:dyDescent="0.3">
      <c r="B126" s="294" t="s">
        <v>188</v>
      </c>
    </row>
  </sheetData>
  <sheetProtection password="E0F0" sheet="1" objects="1" scenarios="1"/>
  <mergeCells count="12">
    <mergeCell ref="A124:K124"/>
    <mergeCell ref="B121:J121"/>
    <mergeCell ref="A1:J1"/>
    <mergeCell ref="A113:J113"/>
    <mergeCell ref="A3:J3"/>
    <mergeCell ref="F81:G81"/>
    <mergeCell ref="B45:H45"/>
    <mergeCell ref="B117:J118"/>
    <mergeCell ref="B115:J115"/>
    <mergeCell ref="B116:J116"/>
    <mergeCell ref="B119:J119"/>
    <mergeCell ref="B120:J120"/>
  </mergeCells>
  <pageMargins left="0.7" right="0.7" top="0.75" bottom="0.75" header="0.3" footer="0.3"/>
  <pageSetup paperSize="9" orientation="portrait" r:id="rId1"/>
  <ignoredErrors>
    <ignoredError sqref="G27"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Rekenblad</vt:lpstr>
      <vt:lpstr>Parameters</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bert.geeraerts@lne.vlaanderen.be</dc:creator>
  <cp:lastModifiedBy>Bert</cp:lastModifiedBy>
  <cp:lastPrinted>2014-10-20T12:47:09Z</cp:lastPrinted>
  <dcterms:created xsi:type="dcterms:W3CDTF">2013-07-10T13:40:21Z</dcterms:created>
  <dcterms:modified xsi:type="dcterms:W3CDTF">2015-03-15T14:02:42Z</dcterms:modified>
</cp:coreProperties>
</file>