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hidePivotFieldList="1" defaultThemeVersion="124226"/>
  <workbookProtection workbookPassword="E0F0" lockStructure="1"/>
  <bookViews>
    <workbookView xWindow="270" yWindow="-15" windowWidth="10305" windowHeight="7995" tabRatio="655"/>
  </bookViews>
  <sheets>
    <sheet name="Concentrische proefvlakken" sheetId="3" r:id="rId1"/>
    <sheet name="Strookvormig proefvlak " sheetId="5" r:id="rId2"/>
    <sheet name="Parameters" sheetId="4" state="hidden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N95" i="4" l="1"/>
  <c r="M94" i="4" s="1"/>
  <c r="V125" i="4"/>
  <c r="V126" i="4"/>
  <c r="D13" i="3" s="1"/>
  <c r="D14" i="3" l="1"/>
  <c r="D22" i="3"/>
  <c r="D27" i="3"/>
  <c r="D19" i="3"/>
  <c r="M91" i="4"/>
  <c r="M87" i="4"/>
  <c r="M83" i="4"/>
  <c r="M79" i="4"/>
  <c r="M75" i="4"/>
  <c r="M90" i="4"/>
  <c r="M86" i="4"/>
  <c r="M82" i="4"/>
  <c r="M78" i="4"/>
  <c r="M74" i="4"/>
  <c r="M89" i="4"/>
  <c r="M85" i="4"/>
  <c r="M81" i="4"/>
  <c r="M77" i="4"/>
  <c r="M92" i="4"/>
  <c r="M88" i="4"/>
  <c r="M84" i="4"/>
  <c r="M80" i="4"/>
  <c r="M76" i="4"/>
  <c r="D26" i="3"/>
  <c r="D18" i="3"/>
  <c r="D23" i="3"/>
  <c r="D15" i="3"/>
  <c r="D10" i="3"/>
  <c r="D25" i="3"/>
  <c r="D21" i="3"/>
  <c r="D17" i="3"/>
  <c r="D12" i="3"/>
  <c r="D28" i="3"/>
  <c r="D24" i="3"/>
  <c r="D20" i="3"/>
  <c r="D16" i="3"/>
  <c r="D11" i="3"/>
  <c r="C74" i="4"/>
  <c r="C99" i="4"/>
  <c r="C47" i="4"/>
  <c r="B47" i="4" s="1"/>
  <c r="E10" i="3" l="1"/>
  <c r="L117" i="4" l="1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18" i="4" s="1"/>
  <c r="L100" i="4"/>
  <c r="L99" i="4"/>
  <c r="K100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99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F118" i="4" l="1"/>
  <c r="E118" i="4"/>
  <c r="I118" i="4"/>
  <c r="G118" i="4"/>
  <c r="J118" i="4"/>
  <c r="K118" i="4"/>
  <c r="H118" i="4"/>
  <c r="B99" i="4"/>
  <c r="B103" i="4"/>
  <c r="B100" i="4"/>
  <c r="B104" i="4"/>
  <c r="B107" i="4"/>
  <c r="B111" i="4"/>
  <c r="B101" i="4"/>
  <c r="B105" i="4"/>
  <c r="B102" i="4"/>
  <c r="B109" i="4"/>
  <c r="B113" i="4"/>
  <c r="B115" i="4"/>
  <c r="B117" i="4"/>
  <c r="B106" i="4"/>
  <c r="B108" i="4"/>
  <c r="B110" i="4"/>
  <c r="B112" i="4"/>
  <c r="B114" i="4"/>
  <c r="B116" i="4"/>
  <c r="V56" i="3" l="1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W30" i="3" l="1"/>
  <c r="H119" i="4" s="1"/>
  <c r="E30" i="3"/>
  <c r="E119" i="4" s="1"/>
  <c r="K30" i="3"/>
  <c r="F119" i="4" s="1"/>
  <c r="Q30" i="3"/>
  <c r="G119" i="4" s="1"/>
  <c r="F120" i="4" l="1"/>
  <c r="F121" i="4" s="1"/>
  <c r="K31" i="3"/>
  <c r="E120" i="4"/>
  <c r="E31" i="3"/>
  <c r="W31" i="3"/>
  <c r="H120" i="4"/>
  <c r="H121" i="4" s="1"/>
  <c r="G120" i="4"/>
  <c r="G121" i="4" s="1"/>
  <c r="Q31" i="3"/>
  <c r="F40" i="5"/>
  <c r="E121" i="4" l="1"/>
  <c r="C10" i="4"/>
  <c r="N5" i="3" s="1"/>
  <c r="C9" i="4"/>
  <c r="C8" i="4"/>
  <c r="C7" i="4"/>
  <c r="C6" i="4"/>
  <c r="F37" i="4" l="1"/>
  <c r="F36" i="4"/>
  <c r="F27" i="4"/>
  <c r="F28" i="4"/>
  <c r="D7" i="5"/>
  <c r="D5" i="5" l="1"/>
  <c r="C92" i="4" l="1"/>
  <c r="B92" i="4" s="1"/>
  <c r="C91" i="4"/>
  <c r="B91" i="4" s="1"/>
  <c r="C90" i="4"/>
  <c r="B90" i="4" s="1"/>
  <c r="C89" i="4"/>
  <c r="B89" i="4" s="1"/>
  <c r="C88" i="4"/>
  <c r="B88" i="4" s="1"/>
  <c r="C87" i="4"/>
  <c r="B87" i="4" s="1"/>
  <c r="C86" i="4"/>
  <c r="B86" i="4" s="1"/>
  <c r="C85" i="4"/>
  <c r="B85" i="4" s="1"/>
  <c r="C84" i="4"/>
  <c r="B84" i="4" s="1"/>
  <c r="C83" i="4"/>
  <c r="B83" i="4" s="1"/>
  <c r="C82" i="4"/>
  <c r="B82" i="4" s="1"/>
  <c r="C81" i="4"/>
  <c r="B81" i="4" s="1"/>
  <c r="C80" i="4"/>
  <c r="B80" i="4" s="1"/>
  <c r="C79" i="4"/>
  <c r="B79" i="4" s="1"/>
  <c r="C78" i="4"/>
  <c r="B78" i="4" s="1"/>
  <c r="C77" i="4"/>
  <c r="B77" i="4" s="1"/>
  <c r="C76" i="4"/>
  <c r="C75" i="4"/>
  <c r="B75" i="4" s="1"/>
  <c r="B74" i="4"/>
  <c r="N74" i="4" s="1"/>
  <c r="E74" i="4" l="1"/>
  <c r="E78" i="4"/>
  <c r="I78" i="4"/>
  <c r="J78" i="4"/>
  <c r="G78" i="4"/>
  <c r="H78" i="4"/>
  <c r="L78" i="4"/>
  <c r="F78" i="4"/>
  <c r="K78" i="4"/>
  <c r="E86" i="4"/>
  <c r="I86" i="4"/>
  <c r="J86" i="4"/>
  <c r="H86" i="4"/>
  <c r="L86" i="4"/>
  <c r="F86" i="4"/>
  <c r="G86" i="4"/>
  <c r="K86" i="4"/>
  <c r="E75" i="4"/>
  <c r="I75" i="4"/>
  <c r="J75" i="4"/>
  <c r="H75" i="4"/>
  <c r="L75" i="4"/>
  <c r="F75" i="4"/>
  <c r="G75" i="4"/>
  <c r="K75" i="4"/>
  <c r="E83" i="4"/>
  <c r="I83" i="4"/>
  <c r="J83" i="4"/>
  <c r="H83" i="4"/>
  <c r="L83" i="4"/>
  <c r="F83" i="4"/>
  <c r="K83" i="4"/>
  <c r="G83" i="4"/>
  <c r="E87" i="4"/>
  <c r="I87" i="4"/>
  <c r="J87" i="4"/>
  <c r="H87" i="4"/>
  <c r="L87" i="4"/>
  <c r="F87" i="4"/>
  <c r="K87" i="4"/>
  <c r="G87" i="4"/>
  <c r="E91" i="4"/>
  <c r="I91" i="4"/>
  <c r="J91" i="4"/>
  <c r="H91" i="4"/>
  <c r="L91" i="4"/>
  <c r="F91" i="4"/>
  <c r="K91" i="4"/>
  <c r="G91" i="4"/>
  <c r="E80" i="4"/>
  <c r="I80" i="4"/>
  <c r="J80" i="4"/>
  <c r="H80" i="4"/>
  <c r="L80" i="4"/>
  <c r="F80" i="4"/>
  <c r="G80" i="4"/>
  <c r="K80" i="4"/>
  <c r="E84" i="4"/>
  <c r="I84" i="4"/>
  <c r="J84" i="4"/>
  <c r="H84" i="4"/>
  <c r="L84" i="4"/>
  <c r="F84" i="4"/>
  <c r="G84" i="4"/>
  <c r="K84" i="4"/>
  <c r="E88" i="4"/>
  <c r="I88" i="4"/>
  <c r="J88" i="4"/>
  <c r="H88" i="4"/>
  <c r="L88" i="4"/>
  <c r="F88" i="4"/>
  <c r="G88" i="4"/>
  <c r="K88" i="4"/>
  <c r="E77" i="4"/>
  <c r="I77" i="4"/>
  <c r="J77" i="4"/>
  <c r="G77" i="4"/>
  <c r="H77" i="4"/>
  <c r="L77" i="4"/>
  <c r="F77" i="4"/>
  <c r="K77" i="4"/>
  <c r="E81" i="4"/>
  <c r="I81" i="4"/>
  <c r="J81" i="4"/>
  <c r="H81" i="4"/>
  <c r="L81" i="4"/>
  <c r="F81" i="4"/>
  <c r="G81" i="4"/>
  <c r="K81" i="4"/>
  <c r="E85" i="4"/>
  <c r="I85" i="4"/>
  <c r="J85" i="4"/>
  <c r="H85" i="4"/>
  <c r="L85" i="4"/>
  <c r="F85" i="4"/>
  <c r="G85" i="4"/>
  <c r="K85" i="4"/>
  <c r="E89" i="4"/>
  <c r="I89" i="4"/>
  <c r="J89" i="4"/>
  <c r="H89" i="4"/>
  <c r="L89" i="4"/>
  <c r="F89" i="4"/>
  <c r="G89" i="4"/>
  <c r="K89" i="4"/>
  <c r="I74" i="4"/>
  <c r="J74" i="4"/>
  <c r="K74" i="4"/>
  <c r="H74" i="4"/>
  <c r="L74" i="4"/>
  <c r="F74" i="4"/>
  <c r="G74" i="4"/>
  <c r="E82" i="4"/>
  <c r="I82" i="4"/>
  <c r="J82" i="4"/>
  <c r="H82" i="4"/>
  <c r="L82" i="4"/>
  <c r="F82" i="4"/>
  <c r="G82" i="4"/>
  <c r="K82" i="4"/>
  <c r="E90" i="4"/>
  <c r="I90" i="4"/>
  <c r="J90" i="4"/>
  <c r="H90" i="4"/>
  <c r="L90" i="4"/>
  <c r="F90" i="4"/>
  <c r="G90" i="4"/>
  <c r="K90" i="4"/>
  <c r="E79" i="4"/>
  <c r="I79" i="4"/>
  <c r="J79" i="4"/>
  <c r="G79" i="4"/>
  <c r="H79" i="4"/>
  <c r="L79" i="4"/>
  <c r="F79" i="4"/>
  <c r="K79" i="4"/>
  <c r="E92" i="4"/>
  <c r="I92" i="4"/>
  <c r="J92" i="4"/>
  <c r="H92" i="4"/>
  <c r="L92" i="4"/>
  <c r="F92" i="4"/>
  <c r="G92" i="4"/>
  <c r="K92" i="4"/>
  <c r="N81" i="4"/>
  <c r="N89" i="4"/>
  <c r="N78" i="4"/>
  <c r="N86" i="4"/>
  <c r="N75" i="4"/>
  <c r="N79" i="4"/>
  <c r="N83" i="4"/>
  <c r="N87" i="4"/>
  <c r="N91" i="4"/>
  <c r="N77" i="4"/>
  <c r="N85" i="4"/>
  <c r="N82" i="4"/>
  <c r="N90" i="4"/>
  <c r="B76" i="4"/>
  <c r="N80" i="4"/>
  <c r="N84" i="4"/>
  <c r="N88" i="4"/>
  <c r="N92" i="4"/>
  <c r="K66" i="3"/>
  <c r="H93" i="4" l="1"/>
  <c r="N76" i="4"/>
  <c r="E76" i="4"/>
  <c r="E93" i="4" s="1"/>
  <c r="I76" i="4"/>
  <c r="I93" i="4" s="1"/>
  <c r="J76" i="4"/>
  <c r="J93" i="4" s="1"/>
  <c r="G76" i="4"/>
  <c r="G93" i="4" s="1"/>
  <c r="H76" i="4"/>
  <c r="L76" i="4"/>
  <c r="L93" i="4" s="1"/>
  <c r="F76" i="4"/>
  <c r="F93" i="4" s="1"/>
  <c r="K76" i="4"/>
  <c r="K93" i="4" s="1"/>
  <c r="N94" i="4" l="1"/>
  <c r="B40" i="5" s="1"/>
  <c r="C65" i="4"/>
  <c r="C64" i="4"/>
  <c r="C63" i="4"/>
  <c r="C62" i="4"/>
  <c r="K53" i="3" s="1"/>
  <c r="C61" i="4"/>
  <c r="C60" i="4"/>
  <c r="C59" i="4"/>
  <c r="C58" i="4"/>
  <c r="C57" i="4"/>
  <c r="C56" i="4"/>
  <c r="C55" i="4"/>
  <c r="C54" i="4"/>
  <c r="C53" i="4"/>
  <c r="C52" i="4"/>
  <c r="C51" i="4"/>
  <c r="E18" i="5" s="1"/>
  <c r="C50" i="4"/>
  <c r="E17" i="5" s="1"/>
  <c r="C49" i="4"/>
  <c r="C48" i="4"/>
  <c r="E14" i="5"/>
  <c r="E21" i="5" l="1"/>
  <c r="F21" i="5" s="1"/>
  <c r="E30" i="5" s="1"/>
  <c r="F30" i="5" s="1"/>
  <c r="G54" i="4"/>
  <c r="E15" i="5"/>
  <c r="F15" i="5" s="1"/>
  <c r="E11" i="3"/>
  <c r="E14" i="3"/>
  <c r="F14" i="3" s="1"/>
  <c r="E19" i="3"/>
  <c r="E23" i="5"/>
  <c r="F23" i="5" s="1"/>
  <c r="E27" i="3"/>
  <c r="E12" i="3"/>
  <c r="F12" i="3" s="1"/>
  <c r="E16" i="5"/>
  <c r="F16" i="5" s="1"/>
  <c r="E16" i="3"/>
  <c r="E20" i="5"/>
  <c r="F20" i="5" s="1"/>
  <c r="E29" i="5" s="1"/>
  <c r="F29" i="5" s="1"/>
  <c r="E20" i="3"/>
  <c r="E24" i="3"/>
  <c r="E21" i="3"/>
  <c r="E25" i="5"/>
  <c r="F25" i="5" s="1"/>
  <c r="E25" i="3"/>
  <c r="F10" i="3"/>
  <c r="F14" i="5"/>
  <c r="E18" i="3"/>
  <c r="F18" i="3" s="1"/>
  <c r="E22" i="5"/>
  <c r="F22" i="5" s="1"/>
  <c r="E22" i="3"/>
  <c r="E26" i="3"/>
  <c r="E15" i="3"/>
  <c r="F15" i="3" s="1"/>
  <c r="E19" i="5"/>
  <c r="F19" i="5" s="1"/>
  <c r="E28" i="5" s="1"/>
  <c r="F28" i="5" s="1"/>
  <c r="E23" i="3"/>
  <c r="E28" i="3"/>
  <c r="E32" i="5"/>
  <c r="F32" i="5" s="1"/>
  <c r="B50" i="4"/>
  <c r="B54" i="4"/>
  <c r="K49" i="3"/>
  <c r="Q49" i="3"/>
  <c r="W49" i="3"/>
  <c r="E49" i="3"/>
  <c r="B58" i="4"/>
  <c r="W21" i="3"/>
  <c r="Q21" i="3"/>
  <c r="K21" i="3"/>
  <c r="Q53" i="3"/>
  <c r="W53" i="3"/>
  <c r="E53" i="3"/>
  <c r="B62" i="4"/>
  <c r="W25" i="3"/>
  <c r="Q25" i="3"/>
  <c r="K25" i="3"/>
  <c r="Q38" i="3"/>
  <c r="W38" i="3"/>
  <c r="E38" i="3"/>
  <c r="K38" i="3"/>
  <c r="W10" i="3"/>
  <c r="K10" i="3"/>
  <c r="Q10" i="3"/>
  <c r="Q42" i="3"/>
  <c r="K42" i="3"/>
  <c r="W42" i="3"/>
  <c r="E42" i="3"/>
  <c r="W14" i="3"/>
  <c r="Q14" i="3"/>
  <c r="K14" i="3"/>
  <c r="B51" i="4"/>
  <c r="Q46" i="3"/>
  <c r="W46" i="3"/>
  <c r="E46" i="3"/>
  <c r="K46" i="3"/>
  <c r="W18" i="3"/>
  <c r="Q18" i="3"/>
  <c r="K18" i="3"/>
  <c r="B55" i="4"/>
  <c r="Q50" i="3"/>
  <c r="K50" i="3"/>
  <c r="W50" i="3"/>
  <c r="E50" i="3"/>
  <c r="F50" i="3" s="1"/>
  <c r="W22" i="3"/>
  <c r="Q22" i="3"/>
  <c r="K22" i="3"/>
  <c r="B59" i="4"/>
  <c r="Q54" i="3"/>
  <c r="W54" i="3"/>
  <c r="E54" i="3"/>
  <c r="K54" i="3"/>
  <c r="W26" i="3"/>
  <c r="Q26" i="3"/>
  <c r="K26" i="3"/>
  <c r="B63" i="4"/>
  <c r="B48" i="4"/>
  <c r="W43" i="3"/>
  <c r="E43" i="3"/>
  <c r="K43" i="3"/>
  <c r="Q43" i="3"/>
  <c r="K15" i="3"/>
  <c r="B52" i="4"/>
  <c r="W15" i="3"/>
  <c r="Q15" i="3"/>
  <c r="W47" i="3"/>
  <c r="Q47" i="3"/>
  <c r="E47" i="3"/>
  <c r="K47" i="3"/>
  <c r="K19" i="3"/>
  <c r="B56" i="4"/>
  <c r="W19" i="3"/>
  <c r="Q19" i="3"/>
  <c r="W51" i="3"/>
  <c r="E51" i="3"/>
  <c r="K51" i="3"/>
  <c r="Q51" i="3"/>
  <c r="K23" i="3"/>
  <c r="B60" i="4"/>
  <c r="W23" i="3"/>
  <c r="Q23" i="3"/>
  <c r="W55" i="3"/>
  <c r="E55" i="3"/>
  <c r="K55" i="3"/>
  <c r="L55" i="3" s="1"/>
  <c r="Q55" i="3"/>
  <c r="K27" i="3"/>
  <c r="B64" i="4"/>
  <c r="W27" i="3"/>
  <c r="Q27" i="3"/>
  <c r="E40" i="3"/>
  <c r="K40" i="3"/>
  <c r="Q40" i="3"/>
  <c r="W40" i="3"/>
  <c r="K12" i="3"/>
  <c r="B49" i="4"/>
  <c r="W12" i="3"/>
  <c r="Q12" i="3"/>
  <c r="E49" i="4"/>
  <c r="E44" i="3"/>
  <c r="K44" i="3"/>
  <c r="Q44" i="3"/>
  <c r="W44" i="3"/>
  <c r="K16" i="3"/>
  <c r="B53" i="4"/>
  <c r="W16" i="3"/>
  <c r="Q16" i="3"/>
  <c r="E48" i="3"/>
  <c r="K48" i="3"/>
  <c r="Q48" i="3"/>
  <c r="W48" i="3"/>
  <c r="K20" i="3"/>
  <c r="B57" i="4"/>
  <c r="W20" i="3"/>
  <c r="Q20" i="3"/>
  <c r="E52" i="3"/>
  <c r="K52" i="3"/>
  <c r="Q52" i="3"/>
  <c r="W52" i="3"/>
  <c r="K24" i="3"/>
  <c r="B61" i="4"/>
  <c r="W24" i="3"/>
  <c r="Q24" i="3"/>
  <c r="E56" i="3"/>
  <c r="K56" i="3"/>
  <c r="Q56" i="3"/>
  <c r="W56" i="3"/>
  <c r="K28" i="3"/>
  <c r="L28" i="3" s="1"/>
  <c r="B65" i="4"/>
  <c r="W28" i="3"/>
  <c r="X28" i="3" s="1"/>
  <c r="Q28" i="3"/>
  <c r="E47" i="4"/>
  <c r="F18" i="5"/>
  <c r="E27" i="5" s="1"/>
  <c r="F27" i="5" s="1"/>
  <c r="F17" i="5"/>
  <c r="E48" i="4"/>
  <c r="K50" i="4"/>
  <c r="I50" i="4"/>
  <c r="G50" i="4"/>
  <c r="F50" i="4"/>
  <c r="L50" i="4"/>
  <c r="J50" i="4"/>
  <c r="H50" i="4"/>
  <c r="K54" i="4"/>
  <c r="I54" i="4"/>
  <c r="F54" i="4"/>
  <c r="L54" i="4"/>
  <c r="J54" i="4"/>
  <c r="H54" i="4"/>
  <c r="K58" i="4"/>
  <c r="I58" i="4"/>
  <c r="G58" i="4"/>
  <c r="F58" i="4"/>
  <c r="L58" i="4"/>
  <c r="J58" i="4"/>
  <c r="H58" i="4"/>
  <c r="K62" i="4"/>
  <c r="I62" i="4"/>
  <c r="G62" i="4"/>
  <c r="F62" i="4"/>
  <c r="L62" i="4"/>
  <c r="J62" i="4"/>
  <c r="H62" i="4"/>
  <c r="K51" i="4"/>
  <c r="I51" i="4"/>
  <c r="G51" i="4"/>
  <c r="L51" i="4"/>
  <c r="J51" i="4"/>
  <c r="H51" i="4"/>
  <c r="F51" i="4"/>
  <c r="K55" i="4"/>
  <c r="I55" i="4"/>
  <c r="G55" i="4"/>
  <c r="L55" i="4"/>
  <c r="J55" i="4"/>
  <c r="H55" i="4"/>
  <c r="F55" i="4"/>
  <c r="K59" i="4"/>
  <c r="I59" i="4"/>
  <c r="G59" i="4"/>
  <c r="F59" i="4"/>
  <c r="L59" i="4"/>
  <c r="J59" i="4"/>
  <c r="H59" i="4"/>
  <c r="K63" i="4"/>
  <c r="I63" i="4"/>
  <c r="G63" i="4"/>
  <c r="F63" i="4"/>
  <c r="L63" i="4"/>
  <c r="J63" i="4"/>
  <c r="H63" i="4"/>
  <c r="L47" i="4"/>
  <c r="H47" i="4"/>
  <c r="K47" i="4"/>
  <c r="G47" i="4"/>
  <c r="J47" i="4"/>
  <c r="I47" i="4"/>
  <c r="F47" i="4"/>
  <c r="L48" i="4"/>
  <c r="J48" i="4"/>
  <c r="H48" i="4"/>
  <c r="K48" i="4"/>
  <c r="I48" i="4"/>
  <c r="G48" i="4"/>
  <c r="F48" i="4"/>
  <c r="L52" i="4"/>
  <c r="J52" i="4"/>
  <c r="H52" i="4"/>
  <c r="K52" i="4"/>
  <c r="I52" i="4"/>
  <c r="F52" i="4"/>
  <c r="G52" i="4"/>
  <c r="L56" i="4"/>
  <c r="J56" i="4"/>
  <c r="H56" i="4"/>
  <c r="K56" i="4"/>
  <c r="I56" i="4"/>
  <c r="G56" i="4"/>
  <c r="F56" i="4"/>
  <c r="L60" i="4"/>
  <c r="J60" i="4"/>
  <c r="H60" i="4"/>
  <c r="K60" i="4"/>
  <c r="I60" i="4"/>
  <c r="G60" i="4"/>
  <c r="F60" i="4"/>
  <c r="L64" i="4"/>
  <c r="J64" i="4"/>
  <c r="H64" i="4"/>
  <c r="K64" i="4"/>
  <c r="I64" i="4"/>
  <c r="F64" i="4"/>
  <c r="G64" i="4"/>
  <c r="L49" i="4"/>
  <c r="J49" i="4"/>
  <c r="H49" i="4"/>
  <c r="K49" i="4"/>
  <c r="I49" i="4"/>
  <c r="G49" i="4"/>
  <c r="F49" i="4"/>
  <c r="L53" i="4"/>
  <c r="J53" i="4"/>
  <c r="H53" i="4"/>
  <c r="K53" i="4"/>
  <c r="I53" i="4"/>
  <c r="G53" i="4"/>
  <c r="F53" i="4"/>
  <c r="L57" i="4"/>
  <c r="J57" i="4"/>
  <c r="H57" i="4"/>
  <c r="K57" i="4"/>
  <c r="I57" i="4"/>
  <c r="G57" i="4"/>
  <c r="F57" i="4"/>
  <c r="L61" i="4"/>
  <c r="J61" i="4"/>
  <c r="H61" i="4"/>
  <c r="K61" i="4"/>
  <c r="I61" i="4"/>
  <c r="G61" i="4"/>
  <c r="F61" i="4"/>
  <c r="L65" i="4"/>
  <c r="J65" i="4"/>
  <c r="H65" i="4"/>
  <c r="K65" i="4"/>
  <c r="I65" i="4"/>
  <c r="G65" i="4"/>
  <c r="F65" i="4"/>
  <c r="E51" i="4"/>
  <c r="E55" i="4"/>
  <c r="E59" i="4"/>
  <c r="E63" i="4"/>
  <c r="E52" i="4"/>
  <c r="E56" i="4"/>
  <c r="E60" i="4"/>
  <c r="E64" i="4"/>
  <c r="E53" i="4"/>
  <c r="E57" i="4"/>
  <c r="E61" i="4"/>
  <c r="E65" i="4"/>
  <c r="E50" i="4"/>
  <c r="E54" i="4"/>
  <c r="E58" i="4"/>
  <c r="E62" i="4"/>
  <c r="E24" i="5" l="1"/>
  <c r="F24" i="5" s="1"/>
  <c r="E31" i="5"/>
  <c r="F31" i="5" s="1"/>
  <c r="E26" i="5"/>
  <c r="F26" i="5" s="1"/>
  <c r="K32" i="3"/>
  <c r="G66" i="4"/>
  <c r="G67" i="4" s="1"/>
  <c r="G68" i="4" s="1"/>
  <c r="Q32" i="3"/>
  <c r="H66" i="4"/>
  <c r="H67" i="4" s="1"/>
  <c r="H68" i="4" s="1"/>
  <c r="W32" i="3"/>
  <c r="E66" i="4"/>
  <c r="E67" i="4" s="1"/>
  <c r="E32" i="3"/>
  <c r="R28" i="3"/>
  <c r="D8" i="4"/>
  <c r="E8" i="4" s="1"/>
  <c r="D7" i="4"/>
  <c r="E7" i="4" s="1"/>
  <c r="F66" i="4"/>
  <c r="F67" i="4" s="1"/>
  <c r="F68" i="4" s="1"/>
  <c r="D5" i="4"/>
  <c r="E5" i="4" s="1"/>
  <c r="W58" i="3"/>
  <c r="Q58" i="3"/>
  <c r="K58" i="3"/>
  <c r="E58" i="3"/>
  <c r="B38" i="5" l="1"/>
  <c r="D38" i="5" s="1"/>
  <c r="D40" i="5" s="1"/>
  <c r="E68" i="4"/>
  <c r="K60" i="3"/>
  <c r="J119" i="4"/>
  <c r="D12" i="4"/>
  <c r="E12" i="4" s="1"/>
  <c r="L119" i="4"/>
  <c r="D11" i="4"/>
  <c r="E11" i="4" s="1"/>
  <c r="K119" i="4"/>
  <c r="D9" i="4"/>
  <c r="E9" i="4" s="1"/>
  <c r="I119" i="4"/>
  <c r="K66" i="4"/>
  <c r="K67" i="4" s="1"/>
  <c r="K68" i="4" s="1"/>
  <c r="Q60" i="3"/>
  <c r="E60" i="3"/>
  <c r="I66" i="4"/>
  <c r="I67" i="4" s="1"/>
  <c r="I68" i="4" s="1"/>
  <c r="D10" i="4"/>
  <c r="E10" i="4" s="1"/>
  <c r="T66" i="3"/>
  <c r="J66" i="4"/>
  <c r="J67" i="4" s="1"/>
  <c r="J68" i="4" s="1"/>
  <c r="W60" i="3"/>
  <c r="L66" i="4"/>
  <c r="D6" i="4"/>
  <c r="E6" i="4" s="1"/>
  <c r="U5" i="3" l="1"/>
  <c r="S5" i="3" s="1"/>
  <c r="E94" i="4" s="1"/>
  <c r="H66" i="3" s="1"/>
  <c r="I120" i="4"/>
  <c r="E59" i="3"/>
  <c r="L67" i="4"/>
  <c r="L68" i="4" s="1"/>
  <c r="K120" i="4"/>
  <c r="K121" i="4" s="1"/>
  <c r="Q59" i="3"/>
  <c r="J120" i="4"/>
  <c r="J121" i="4" s="1"/>
  <c r="K59" i="3"/>
  <c r="W59" i="3"/>
  <c r="L120" i="4"/>
  <c r="L121" i="4" s="1"/>
  <c r="F38" i="5"/>
  <c r="E69" i="4" l="1"/>
  <c r="B66" i="3" s="1"/>
  <c r="I121" i="4"/>
  <c r="F56" i="3"/>
  <c r="F55" i="3"/>
  <c r="F54" i="3"/>
  <c r="F53" i="3"/>
  <c r="F52" i="3"/>
  <c r="F51" i="3"/>
  <c r="F49" i="3"/>
  <c r="F48" i="3"/>
  <c r="F47" i="3"/>
  <c r="F46" i="3"/>
  <c r="F44" i="3"/>
  <c r="F43" i="3"/>
  <c r="F42" i="3"/>
  <c r="F40" i="3"/>
  <c r="F38" i="3"/>
  <c r="L38" i="3"/>
  <c r="R38" i="3"/>
  <c r="X38" i="3"/>
  <c r="L40" i="3"/>
  <c r="R40" i="3"/>
  <c r="X40" i="3"/>
  <c r="L42" i="3"/>
  <c r="R42" i="3"/>
  <c r="X42" i="3"/>
  <c r="L43" i="3"/>
  <c r="R43" i="3"/>
  <c r="X43" i="3"/>
  <c r="L44" i="3"/>
  <c r="R44" i="3"/>
  <c r="X44" i="3"/>
  <c r="L46" i="3"/>
  <c r="R46" i="3"/>
  <c r="X46" i="3"/>
  <c r="L47" i="3"/>
  <c r="R47" i="3"/>
  <c r="X47" i="3"/>
  <c r="L48" i="3"/>
  <c r="R48" i="3"/>
  <c r="X48" i="3"/>
  <c r="L49" i="3"/>
  <c r="R49" i="3"/>
  <c r="X49" i="3"/>
  <c r="L50" i="3"/>
  <c r="R50" i="3"/>
  <c r="X50" i="3"/>
  <c r="L51" i="3"/>
  <c r="R51" i="3"/>
  <c r="X51" i="3"/>
  <c r="L52" i="3"/>
  <c r="R52" i="3"/>
  <c r="X52" i="3"/>
  <c r="L53" i="3"/>
  <c r="R53" i="3"/>
  <c r="X53" i="3"/>
  <c r="L54" i="3"/>
  <c r="R54" i="3"/>
  <c r="X54" i="3"/>
  <c r="R55" i="3"/>
  <c r="X55" i="3"/>
  <c r="L56" i="3"/>
  <c r="R56" i="3"/>
  <c r="X56" i="3"/>
  <c r="E122" i="4" l="1"/>
  <c r="E66" i="3" s="1"/>
  <c r="X27" i="3"/>
  <c r="X26" i="3"/>
  <c r="X25" i="3"/>
  <c r="X24" i="3"/>
  <c r="X23" i="3"/>
  <c r="X22" i="3"/>
  <c r="X21" i="3"/>
  <c r="X20" i="3"/>
  <c r="X19" i="3"/>
  <c r="X18" i="3"/>
  <c r="X16" i="3"/>
  <c r="X15" i="3"/>
  <c r="X14" i="3"/>
  <c r="X12" i="3"/>
  <c r="R27" i="3"/>
  <c r="R26" i="3"/>
  <c r="R25" i="3"/>
  <c r="R24" i="3"/>
  <c r="R23" i="3"/>
  <c r="R22" i="3"/>
  <c r="R21" i="3"/>
  <c r="R20" i="3"/>
  <c r="R19" i="3"/>
  <c r="R18" i="3"/>
  <c r="R16" i="3"/>
  <c r="R15" i="3"/>
  <c r="R14" i="3"/>
  <c r="R12" i="3"/>
  <c r="L27" i="3"/>
  <c r="L26" i="3"/>
  <c r="L25" i="3"/>
  <c r="L24" i="3"/>
  <c r="L23" i="3"/>
  <c r="L22" i="3"/>
  <c r="L21" i="3"/>
  <c r="L20" i="3"/>
  <c r="L19" i="3"/>
  <c r="L18" i="3"/>
  <c r="L16" i="3"/>
  <c r="L15" i="3"/>
  <c r="L14" i="3"/>
  <c r="L12" i="3"/>
  <c r="R10" i="3" l="1"/>
  <c r="L10" i="3"/>
  <c r="X10" i="3"/>
  <c r="F16" i="3" l="1"/>
  <c r="F19" i="3"/>
  <c r="F20" i="3"/>
  <c r="F21" i="3"/>
  <c r="F22" i="3"/>
  <c r="F23" i="3"/>
  <c r="F24" i="3"/>
  <c r="F25" i="3"/>
  <c r="F26" i="3"/>
  <c r="F28" i="3"/>
  <c r="F27" i="3"/>
  <c r="K45" i="3" l="1"/>
  <c r="L45" i="3" s="1"/>
  <c r="E45" i="3"/>
  <c r="F45" i="3" s="1"/>
  <c r="Q45" i="3"/>
  <c r="R45" i="3" s="1"/>
  <c r="W45" i="3"/>
  <c r="X45" i="3" s="1"/>
  <c r="W17" i="3"/>
  <c r="X17" i="3" s="1"/>
  <c r="K17" i="3"/>
  <c r="L17" i="3" s="1"/>
  <c r="Q17" i="3"/>
  <c r="R17" i="3" s="1"/>
  <c r="E17" i="3"/>
  <c r="F17" i="3" s="1"/>
  <c r="K13" i="3"/>
  <c r="L13" i="3" s="1"/>
  <c r="W13" i="3"/>
  <c r="X13" i="3" s="1"/>
  <c r="E41" i="3"/>
  <c r="F41" i="3" s="1"/>
  <c r="W41" i="3"/>
  <c r="X41" i="3" s="1"/>
  <c r="E39" i="3"/>
  <c r="F39" i="3" s="1"/>
  <c r="W11" i="3"/>
  <c r="X11" i="3" s="1"/>
  <c r="Q41" i="3"/>
  <c r="R41" i="3" s="1"/>
  <c r="Q13" i="3"/>
  <c r="R13" i="3" s="1"/>
  <c r="F11" i="3"/>
  <c r="E13" i="3"/>
  <c r="F13" i="3" s="1"/>
  <c r="K41" i="3"/>
  <c r="L41" i="3" s="1"/>
  <c r="Q11" i="3"/>
  <c r="R11" i="3" s="1"/>
  <c r="Q39" i="3"/>
  <c r="R39" i="3" s="1"/>
  <c r="K39" i="3"/>
  <c r="L39" i="3" s="1"/>
  <c r="W39" i="3"/>
  <c r="X39" i="3" s="1"/>
  <c r="K11" i="3"/>
  <c r="L11" i="3" s="1"/>
  <c r="K61" i="3" l="1"/>
  <c r="E18" i="4" s="1"/>
  <c r="K33" i="3"/>
  <c r="C18" i="4" s="1"/>
  <c r="Q33" i="3"/>
  <c r="C19" i="4" s="1"/>
  <c r="E33" i="3"/>
  <c r="W61" i="3"/>
  <c r="E20" i="4" s="1"/>
  <c r="Q61" i="3"/>
  <c r="E19" i="4" s="1"/>
  <c r="W33" i="3"/>
  <c r="C20" i="4" s="1"/>
  <c r="E61" i="3"/>
  <c r="E17" i="4" s="1"/>
  <c r="Q5" i="3" l="1"/>
  <c r="N66" i="3" s="1"/>
  <c r="Q66" i="3" s="1"/>
  <c r="W66" i="3" s="1"/>
  <c r="C17" i="4"/>
</calcChain>
</file>

<file path=xl/sharedStrings.xml><?xml version="1.0" encoding="utf-8"?>
<sst xmlns="http://schemas.openxmlformats.org/spreadsheetml/2006/main" count="522" uniqueCount="126">
  <si>
    <t>Straal cirkel</t>
  </si>
  <si>
    <t>Totaal volume</t>
  </si>
  <si>
    <t>Grondvlak:</t>
  </si>
  <si>
    <t>Aantal proefvlakken</t>
  </si>
  <si>
    <t>Oppervlakte proefvlakken</t>
  </si>
  <si>
    <t>Oppervlakte bestand</t>
  </si>
  <si>
    <t>are</t>
  </si>
  <si>
    <t>Oppervlakte/proefvlak</t>
  </si>
  <si>
    <t>m</t>
  </si>
  <si>
    <t>m³</t>
  </si>
  <si>
    <t>Opp. proefvl.</t>
  </si>
  <si>
    <t>Aantal gemeten bomen</t>
  </si>
  <si>
    <t>stuks</t>
  </si>
  <si>
    <t>Aantal bomen</t>
  </si>
  <si>
    <t>Aantal gemeten bomen:</t>
  </si>
  <si>
    <t>Volume proefvlakken</t>
  </si>
  <si>
    <t>bomen</t>
  </si>
  <si>
    <t>Gemiddelde hoogte (m)</t>
  </si>
  <si>
    <t>Verg. functie:</t>
  </si>
  <si>
    <t>Grove den</t>
  </si>
  <si>
    <t>Beuk</t>
  </si>
  <si>
    <t>Populier</t>
  </si>
  <si>
    <t>Houtsoort</t>
  </si>
  <si>
    <t>Spilhoutvolume</t>
  </si>
  <si>
    <t>Takhoutvolume</t>
  </si>
  <si>
    <t>Parameters volumebepaling:</t>
  </si>
  <si>
    <t>Straal proefvlak</t>
  </si>
  <si>
    <t>Takbezetting</t>
  </si>
  <si>
    <t>Gemiddeld</t>
  </si>
  <si>
    <t>Proefvlak 1, coördinaten:</t>
  </si>
  <si>
    <t>Proefvlak 2, coördinaten:</t>
  </si>
  <si>
    <t>Proefvlak 3, coördinaten:</t>
  </si>
  <si>
    <t>Proefvlak 4, coördinaten:</t>
  </si>
  <si>
    <t>Proefvlak 5, coördinaten:</t>
  </si>
  <si>
    <t>Proefvlak 6, coördinaten:</t>
  </si>
  <si>
    <t>Proefvlak 7, coördinaten:</t>
  </si>
  <si>
    <t>Proefvlak 8, coördinaten:</t>
  </si>
  <si>
    <t>Bomen</t>
  </si>
  <si>
    <t>Proefvlak</t>
  </si>
  <si>
    <r>
      <rPr>
        <b/>
        <sz val="11"/>
        <color theme="1"/>
        <rFont val="Calibri"/>
        <family val="2"/>
      </rPr>
      <t>Omtrek</t>
    </r>
    <r>
      <rPr>
        <b/>
        <sz val="11"/>
        <color theme="1"/>
        <rFont val="Calibri"/>
        <family val="2"/>
        <scheme val="minor"/>
      </rPr>
      <t>klasse (cm)</t>
    </r>
  </si>
  <si>
    <t>20 - 29</t>
  </si>
  <si>
    <t>30 - 39</t>
  </si>
  <si>
    <t>40 - 49</t>
  </si>
  <si>
    <t>50 - 59</t>
  </si>
  <si>
    <t>60 - 69</t>
  </si>
  <si>
    <t>70 - 79</t>
  </si>
  <si>
    <t>80 - 89</t>
  </si>
  <si>
    <t>90 - 99</t>
  </si>
  <si>
    <t>100 - 109</t>
  </si>
  <si>
    <t>110 - 119</t>
  </si>
  <si>
    <t>120 - 129</t>
  </si>
  <si>
    <t>130 - 139</t>
  </si>
  <si>
    <t>140 - 149</t>
  </si>
  <si>
    <t>150 - 159</t>
  </si>
  <si>
    <t>160 - 169</t>
  </si>
  <si>
    <t>170 - 179</t>
  </si>
  <si>
    <t>180 - 189</t>
  </si>
  <si>
    <t>190 - 199</t>
  </si>
  <si>
    <t>Biomassaexpansie factor</t>
  </si>
  <si>
    <t>Grondvlak</t>
  </si>
  <si>
    <t>Gemiddelde omtrek</t>
  </si>
  <si>
    <t>cm</t>
  </si>
  <si>
    <t>Gemiddelde hoogte</t>
  </si>
  <si>
    <t>Proefvlak 1</t>
  </si>
  <si>
    <t>Proefvlak 2</t>
  </si>
  <si>
    <t>Proefvlak 3</t>
  </si>
  <si>
    <t>Proefvlak 4</t>
  </si>
  <si>
    <t>Proefvlak 5</t>
  </si>
  <si>
    <t>Proefvlak 6</t>
  </si>
  <si>
    <t>Proefvlak 7</t>
  </si>
  <si>
    <t>Proefvlak 8</t>
  </si>
  <si>
    <t>Berk</t>
  </si>
  <si>
    <t>Es</t>
  </si>
  <si>
    <t>Esdoorn</t>
  </si>
  <si>
    <t>Boskers</t>
  </si>
  <si>
    <t>Lariks</t>
  </si>
  <si>
    <t>Fijnspar</t>
  </si>
  <si>
    <t>Douglas</t>
  </si>
  <si>
    <t>Ander naald</t>
  </si>
  <si>
    <t>Cors. den</t>
  </si>
  <si>
    <t>Am. eik</t>
  </si>
  <si>
    <t>Tamme kast.</t>
  </si>
  <si>
    <t>Ander loof</t>
  </si>
  <si>
    <t>Inland. eik</t>
  </si>
  <si>
    <t>Volumes (m³)</t>
  </si>
  <si>
    <t>m²/ha</t>
  </si>
  <si>
    <t xml:space="preserve">Grondvlak m²/ha:  </t>
  </si>
  <si>
    <t>Omtrekklasse (borsthoogte)</t>
  </si>
  <si>
    <t>Gemiddelde omtrek:</t>
  </si>
  <si>
    <t>Gemiddelde hoogte:</t>
  </si>
  <si>
    <t>Volume:</t>
  </si>
  <si>
    <t>1. Algemene parameters ingeven:</t>
  </si>
  <si>
    <t>Lengte proefstrook</t>
  </si>
  <si>
    <t>Breedte proefstrook</t>
  </si>
  <si>
    <t>Oppervlakte proefstrook</t>
  </si>
  <si>
    <t>Hoogte (m)</t>
  </si>
  <si>
    <t>Verloop</t>
  </si>
  <si>
    <t>3. Resultaten van de volumebepaling:</t>
  </si>
  <si>
    <t>Volume proefvlak:</t>
  </si>
  <si>
    <t>Spilhoutvolume bestand</t>
  </si>
  <si>
    <t>Totaal volume:</t>
  </si>
  <si>
    <t>Takhoutvolume bestand</t>
  </si>
  <si>
    <t xml:space="preserve">  2. Proefvlakken, gemiddelde hoogtes en aantal bomen per omtrekklasse ingeven (spilhoutvolume):</t>
  </si>
  <si>
    <t>2. Opnamestrook, gemiddelde hoogtes en aantal bomen per omtrekklasse ingeven (spilhoutvolume):</t>
  </si>
  <si>
    <t xml:space="preserve">  1. Algemene parameters:</t>
  </si>
  <si>
    <t xml:space="preserve">  3. Resultaten van opname:</t>
  </si>
  <si>
    <t xml:space="preserve"> Volumebepaling: strookvormig proefvlak</t>
  </si>
  <si>
    <t>Minimaal</t>
  </si>
  <si>
    <t>Maximaal</t>
  </si>
  <si>
    <t>Diameter</t>
  </si>
  <si>
    <t xml:space="preserve">Gemiddelde omtrek (m):  </t>
  </si>
  <si>
    <t xml:space="preserve"> Parameters:</t>
  </si>
  <si>
    <t xml:space="preserve"> Volume/proefvlak (m³):</t>
  </si>
  <si>
    <t xml:space="preserve"> Biomassa expansiefactoren (BEF):</t>
  </si>
  <si>
    <t xml:space="preserve"> Gemiddelde omtrek (m):</t>
  </si>
  <si>
    <t xml:space="preserve"> Grondvlak m²/ha:</t>
  </si>
  <si>
    <t xml:space="preserve"> Gemiddelde hoogte (m):</t>
  </si>
  <si>
    <t>Verloop (cm)</t>
  </si>
  <si>
    <t>Strookvormig proefvlak</t>
  </si>
  <si>
    <t xml:space="preserve">   Volumebepaling: concentrische proefvlakken gelinkt aan GPS coördinaten</t>
  </si>
  <si>
    <t xml:space="preserve">Gemiddelde hoogte(m):  </t>
  </si>
  <si>
    <t>Omtrek op 0,5h     (m)</t>
  </si>
  <si>
    <t>Straal (m)</t>
  </si>
  <si>
    <t xml:space="preserve"> Verloop per boomsoort en omtrekklasse (cm/lm), L. Brichet en J. Duterme "Aide Mémoire du Forestier":</t>
  </si>
  <si>
    <t>10 - 19</t>
  </si>
  <si>
    <t>Ø op 0,5h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</si>
</sst>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"/>
    <numFmt numFmtId="165" formatCode="0.000000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81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3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6" xfId="0" applyFont="1" applyFill="1" applyBorder="1" applyAlignment="1">
      <alignment horizontal="center"/>
    </xf>
    <xf numFmtId="0" fontId="0" fillId="2" borderId="7" xfId="0" applyFill="1" applyBorder="1"/>
    <xf numFmtId="164" fontId="0" fillId="0" borderId="2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/>
    <xf numFmtId="2" fontId="1" fillId="8" borderId="0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6" fillId="2" borderId="35" xfId="0" applyFont="1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left"/>
    </xf>
    <xf numFmtId="0" fontId="0" fillId="2" borderId="36" xfId="0" applyFill="1" applyBorder="1"/>
    <xf numFmtId="0" fontId="0" fillId="2" borderId="28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4" fillId="2" borderId="3" xfId="0" applyFont="1" applyFill="1" applyBorder="1" applyAlignment="1"/>
    <xf numFmtId="1" fontId="1" fillId="8" borderId="0" xfId="0" applyNumberFormat="1" applyFont="1" applyFill="1" applyBorder="1" applyAlignment="1">
      <alignment horizontal="center"/>
    </xf>
    <xf numFmtId="0" fontId="4" fillId="0" borderId="29" xfId="0" applyFont="1" applyBorder="1"/>
    <xf numFmtId="0" fontId="4" fillId="0" borderId="6" xfId="0" applyFont="1" applyBorder="1"/>
    <xf numFmtId="0" fontId="4" fillId="0" borderId="39" xfId="0" applyFont="1" applyBorder="1"/>
    <xf numFmtId="0" fontId="4" fillId="0" borderId="5" xfId="0" applyFont="1" applyBorder="1"/>
    <xf numFmtId="0" fontId="4" fillId="0" borderId="5" xfId="0" applyFont="1" applyFill="1" applyBorder="1"/>
    <xf numFmtId="0" fontId="0" fillId="0" borderId="40" xfId="0" applyBorder="1"/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/>
    <xf numFmtId="0" fontId="0" fillId="0" borderId="0" xfId="0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164" fontId="0" fillId="0" borderId="25" xfId="0" applyNumberFormat="1" applyFill="1" applyBorder="1" applyAlignment="1">
      <alignment horizontal="center"/>
    </xf>
    <xf numFmtId="0" fontId="0" fillId="2" borderId="2" xfId="0" applyFill="1" applyBorder="1"/>
    <xf numFmtId="0" fontId="0" fillId="0" borderId="1" xfId="0" applyBorder="1"/>
    <xf numFmtId="0" fontId="0" fillId="2" borderId="2" xfId="0" applyFill="1" applyBorder="1" applyAlignment="1">
      <alignment horizontal="left"/>
    </xf>
    <xf numFmtId="0" fontId="0" fillId="0" borderId="16" xfId="0" applyBorder="1"/>
    <xf numFmtId="0" fontId="4" fillId="2" borderId="45" xfId="0" applyFont="1" applyFill="1" applyBorder="1" applyAlignment="1"/>
    <xf numFmtId="0" fontId="4" fillId="2" borderId="46" xfId="0" applyFont="1" applyFill="1" applyBorder="1" applyAlignment="1"/>
    <xf numFmtId="0" fontId="0" fillId="0" borderId="24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2" xfId="0" applyNumberFormat="1" applyBorder="1"/>
    <xf numFmtId="1" fontId="1" fillId="9" borderId="0" xfId="0" applyNumberFormat="1" applyFont="1" applyFill="1" applyBorder="1" applyAlignment="1" applyProtection="1">
      <alignment horizontal="center"/>
    </xf>
    <xf numFmtId="0" fontId="0" fillId="0" borderId="49" xfId="0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0" fontId="0" fillId="0" borderId="50" xfId="0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7" borderId="43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164" fontId="0" fillId="0" borderId="3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2" fontId="0" fillId="0" borderId="25" xfId="0" applyNumberForma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0" fillId="0" borderId="25" xfId="1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1" xfId="0" applyBorder="1"/>
    <xf numFmtId="164" fontId="0" fillId="0" borderId="0" xfId="0" applyNumberFormat="1"/>
    <xf numFmtId="0" fontId="4" fillId="0" borderId="2" xfId="0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2" borderId="47" xfId="0" applyFont="1" applyFill="1" applyBorder="1" applyAlignment="1"/>
    <xf numFmtId="0" fontId="4" fillId="2" borderId="18" xfId="0" applyFont="1" applyFill="1" applyBorder="1" applyAlignment="1"/>
    <xf numFmtId="0" fontId="4" fillId="2" borderId="48" xfId="0" applyFont="1" applyFill="1" applyBorder="1" applyAlignment="1"/>
    <xf numFmtId="0" fontId="0" fillId="0" borderId="14" xfId="0" applyBorder="1"/>
    <xf numFmtId="164" fontId="1" fillId="8" borderId="0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44" xfId="0" applyFill="1" applyBorder="1"/>
    <xf numFmtId="0" fontId="0" fillId="2" borderId="10" xfId="0" applyFill="1" applyBorder="1"/>
    <xf numFmtId="0" fontId="0" fillId="2" borderId="28" xfId="0" applyFill="1" applyBorder="1"/>
    <xf numFmtId="0" fontId="0" fillId="2" borderId="1" xfId="0" applyFill="1" applyBorder="1" applyAlignment="1">
      <alignment horizontal="left"/>
    </xf>
    <xf numFmtId="0" fontId="0" fillId="0" borderId="52" xfId="0" applyBorder="1"/>
    <xf numFmtId="0" fontId="0" fillId="0" borderId="31" xfId="0" applyBorder="1"/>
    <xf numFmtId="0" fontId="0" fillId="2" borderId="0" xfId="0" applyFill="1"/>
    <xf numFmtId="0" fontId="2" fillId="3" borderId="3" xfId="0" applyFont="1" applyFill="1" applyBorder="1" applyAlignment="1"/>
    <xf numFmtId="0" fontId="2" fillId="3" borderId="46" xfId="0" applyFont="1" applyFill="1" applyBorder="1" applyAlignment="1"/>
    <xf numFmtId="16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4" fontId="0" fillId="2" borderId="7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164" fontId="0" fillId="2" borderId="44" xfId="0" applyNumberForma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textRotation="90" wrapText="1"/>
    </xf>
    <xf numFmtId="0" fontId="0" fillId="2" borderId="47" xfId="0" applyFill="1" applyBorder="1" applyAlignment="1"/>
    <xf numFmtId="0" fontId="0" fillId="2" borderId="18" xfId="0" applyFill="1" applyBorder="1" applyAlignment="1"/>
    <xf numFmtId="0" fontId="0" fillId="2" borderId="48" xfId="0" applyFill="1" applyBorder="1" applyAlignment="1"/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/>
    <xf numFmtId="0" fontId="0" fillId="2" borderId="14" xfId="0" applyFill="1" applyBorder="1"/>
    <xf numFmtId="0" fontId="0" fillId="2" borderId="44" xfId="0" applyFill="1" applyBorder="1" applyAlignment="1">
      <alignment horizontal="center"/>
    </xf>
    <xf numFmtId="164" fontId="0" fillId="2" borderId="7" xfId="0" applyNumberForma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4" fontId="0" fillId="2" borderId="3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2" borderId="46" xfId="0" applyNumberForma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0" xfId="0" applyNumberFormat="1"/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6" fontId="0" fillId="0" borderId="26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/>
    <xf numFmtId="0" fontId="4" fillId="0" borderId="5" xfId="0" applyFont="1" applyFill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4" fillId="2" borderId="44" xfId="0" applyFont="1" applyFill="1" applyBorder="1" applyAlignment="1"/>
    <xf numFmtId="164" fontId="0" fillId="0" borderId="37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/>
    <xf numFmtId="0" fontId="0" fillId="0" borderId="17" xfId="0" applyBorder="1"/>
    <xf numFmtId="0" fontId="0" fillId="0" borderId="6" xfId="0" applyBorder="1" applyAlignment="1">
      <alignment vertical="center"/>
    </xf>
    <xf numFmtId="0" fontId="0" fillId="2" borderId="6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8" xfId="0" applyFill="1" applyBorder="1"/>
    <xf numFmtId="166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0" xfId="0" applyNumberFormat="1" applyBorder="1"/>
    <xf numFmtId="166" fontId="0" fillId="0" borderId="0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6" fontId="0" fillId="0" borderId="56" xfId="0" applyNumberFormat="1" applyBorder="1" applyAlignment="1">
      <alignment horizontal="center"/>
    </xf>
    <xf numFmtId="0" fontId="0" fillId="7" borderId="63" xfId="0" applyFill="1" applyBorder="1" applyAlignment="1" applyProtection="1">
      <alignment horizontal="center"/>
      <protection locked="0"/>
    </xf>
    <xf numFmtId="0" fontId="6" fillId="2" borderId="64" xfId="0" applyFont="1" applyFill="1" applyBorder="1" applyAlignment="1">
      <alignment horizontal="center" vertical="center" textRotation="90" wrapText="1"/>
    </xf>
    <xf numFmtId="1" fontId="0" fillId="0" borderId="0" xfId="0" applyNumberFormat="1" applyBorder="1"/>
    <xf numFmtId="0" fontId="0" fillId="2" borderId="12" xfId="0" applyFill="1" applyBorder="1" applyAlignment="1"/>
    <xf numFmtId="164" fontId="0" fillId="0" borderId="1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12" fillId="0" borderId="58" xfId="0" applyNumberFormat="1" applyFont="1" applyBorder="1" applyAlignment="1">
      <alignment horizontal="center" vertical="center"/>
    </xf>
    <xf numFmtId="165" fontId="12" fillId="0" borderId="59" xfId="0" applyNumberFormat="1" applyFont="1" applyBorder="1" applyAlignment="1">
      <alignment horizontal="center" vertical="center"/>
    </xf>
    <xf numFmtId="0" fontId="0" fillId="2" borderId="20" xfId="0" applyFill="1" applyBorder="1"/>
    <xf numFmtId="0" fontId="0" fillId="2" borderId="15" xfId="0" applyFill="1" applyBorder="1"/>
    <xf numFmtId="0" fontId="0" fillId="2" borderId="16" xfId="0" applyFill="1" applyBorder="1"/>
    <xf numFmtId="0" fontId="4" fillId="0" borderId="17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166" fontId="0" fillId="0" borderId="54" xfId="0" applyNumberFormat="1" applyBorder="1" applyAlignment="1">
      <alignment horizontal="center"/>
    </xf>
    <xf numFmtId="166" fontId="0" fillId="0" borderId="55" xfId="0" applyNumberFormat="1" applyBorder="1" applyAlignment="1">
      <alignment horizontal="center"/>
    </xf>
    <xf numFmtId="166" fontId="0" fillId="0" borderId="57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166" fontId="0" fillId="0" borderId="67" xfId="0" applyNumberFormat="1" applyBorder="1" applyAlignment="1">
      <alignment horizontal="center"/>
    </xf>
    <xf numFmtId="166" fontId="0" fillId="0" borderId="56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63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" fillId="0" borderId="17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" fontId="0" fillId="0" borderId="17" xfId="0" applyNumberFormat="1" applyFill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2" fontId="12" fillId="0" borderId="69" xfId="0" applyNumberFormat="1" applyFon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2" fontId="12" fillId="0" borderId="65" xfId="0" applyNumberFormat="1" applyFont="1" applyBorder="1" applyAlignment="1">
      <alignment horizontal="center" vertic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3" borderId="66" xfId="0" applyFill="1" applyBorder="1" applyAlignment="1">
      <alignment horizontal="center"/>
    </xf>
    <xf numFmtId="0" fontId="13" fillId="6" borderId="66" xfId="0" applyFont="1" applyFill="1" applyBorder="1" applyAlignment="1">
      <alignment horizontal="center"/>
    </xf>
    <xf numFmtId="0" fontId="13" fillId="6" borderId="70" xfId="0" applyFont="1" applyFill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6" xfId="0" applyBorder="1"/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14" fillId="2" borderId="70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165" fontId="12" fillId="0" borderId="60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/>
    </xf>
    <xf numFmtId="0" fontId="2" fillId="6" borderId="15" xfId="0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2" fillId="3" borderId="4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10" fillId="5" borderId="37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48" xfId="0" applyFont="1" applyFill="1" applyBorder="1" applyAlignment="1">
      <alignment horizontal="left"/>
    </xf>
    <xf numFmtId="0" fontId="2" fillId="3" borderId="4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5" borderId="4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10" fillId="5" borderId="27" xfId="0" applyFont="1" applyFill="1" applyBorder="1" applyAlignment="1">
      <alignment horizontal="left" vertical="center"/>
    </xf>
    <xf numFmtId="0" fontId="10" fillId="5" borderId="38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43963254593172E-2"/>
          <c:y val="2.8252405949256341E-2"/>
          <c:w val="0.37458538507848776"/>
          <c:h val="0.946096325145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'[1]Parameters volumebepaling'!$B$43</c:f>
              <c:strCache>
                <c:ptCount val="1"/>
                <c:pt idx="0">
                  <c:v>Werkhout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'[1]Parameters volumebepaling'!$C$43</c:f>
              <c:numCache>
                <c:formatCode>General</c:formatCode>
                <c:ptCount val="1"/>
                <c:pt idx="0">
                  <c:v>133.88207148256137</c:v>
                </c:pt>
              </c:numCache>
            </c:numRef>
          </c:val>
        </c:ser>
        <c:ser>
          <c:idx val="1"/>
          <c:order val="1"/>
          <c:tx>
            <c:strRef>
              <c:f>'[1]Parameters volumebepaling'!$B$44</c:f>
              <c:strCache>
                <c:ptCount val="1"/>
                <c:pt idx="0">
                  <c:v>Industriehout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'[1]Parameters volumebepaling'!$C$44</c:f>
              <c:numCache>
                <c:formatCode>General</c:formatCode>
                <c:ptCount val="1"/>
                <c:pt idx="0">
                  <c:v>268.90815937803677</c:v>
                </c:pt>
              </c:numCache>
            </c:numRef>
          </c:val>
        </c:ser>
        <c:ser>
          <c:idx val="2"/>
          <c:order val="2"/>
          <c:tx>
            <c:strRef>
              <c:f>'[1]Parameters volumebepaling'!$B$45</c:f>
              <c:strCache>
                <c:ptCount val="1"/>
                <c:pt idx="0">
                  <c:v>Energiehout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'[1]Parameters volumebepaling'!$C$45</c:f>
              <c:numCache>
                <c:formatCode>General</c:formatCode>
                <c:ptCount val="1"/>
                <c:pt idx="0">
                  <c:v>113.98126913940183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28032"/>
        <c:axId val="50829568"/>
      </c:barChart>
      <c:catAx>
        <c:axId val="5082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50829568"/>
        <c:crosses val="autoZero"/>
        <c:auto val="1"/>
        <c:lblAlgn val="ctr"/>
        <c:lblOffset val="100"/>
        <c:noMultiLvlLbl val="0"/>
      </c:catAx>
      <c:valAx>
        <c:axId val="50829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082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790830107397672"/>
          <c:y val="2.2008158086264933E-2"/>
          <c:w val="0.41201071881607604"/>
          <c:h val="0.38039618438119649"/>
        </c:manualLayout>
      </c:layout>
      <c:overlay val="0"/>
      <c:txPr>
        <a:bodyPr/>
        <a:lstStyle/>
        <a:p>
          <a:pPr>
            <a:defRPr sz="11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43963254593172E-2"/>
          <c:y val="2.8252405949256341E-2"/>
          <c:w val="0.37458538507848776"/>
          <c:h val="0.946096325145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'[2]Parameters volumebepaling'!$B$43</c:f>
              <c:strCache>
                <c:ptCount val="1"/>
                <c:pt idx="0">
                  <c:v>Werkhout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'[2]Parameters volumebepaling'!$C$43</c:f>
              <c:numCache>
                <c:formatCode>General</c:formatCode>
                <c:ptCount val="1"/>
                <c:pt idx="0">
                  <c:v>133.88207148256137</c:v>
                </c:pt>
              </c:numCache>
            </c:numRef>
          </c:val>
        </c:ser>
        <c:ser>
          <c:idx val="1"/>
          <c:order val="1"/>
          <c:tx>
            <c:strRef>
              <c:f>'[2]Parameters volumebepaling'!$B$44</c:f>
              <c:strCache>
                <c:ptCount val="1"/>
                <c:pt idx="0">
                  <c:v>Industriehout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'[2]Parameters volumebepaling'!$C$44</c:f>
              <c:numCache>
                <c:formatCode>General</c:formatCode>
                <c:ptCount val="1"/>
                <c:pt idx="0">
                  <c:v>268.90815937803677</c:v>
                </c:pt>
              </c:numCache>
            </c:numRef>
          </c:val>
        </c:ser>
        <c:ser>
          <c:idx val="2"/>
          <c:order val="2"/>
          <c:tx>
            <c:strRef>
              <c:f>'[2]Parameters volumebepaling'!$B$45</c:f>
              <c:strCache>
                <c:ptCount val="1"/>
                <c:pt idx="0">
                  <c:v>Energiehout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'[2]Parameters volumebepaling'!$C$45</c:f>
              <c:numCache>
                <c:formatCode>General</c:formatCode>
                <c:ptCount val="1"/>
                <c:pt idx="0">
                  <c:v>113.98126913940183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67584"/>
        <c:axId val="81669120"/>
      </c:barChart>
      <c:catAx>
        <c:axId val="81667584"/>
        <c:scaling>
          <c:orientation val="minMax"/>
        </c:scaling>
        <c:delete val="1"/>
        <c:axPos val="b"/>
        <c:majorTickMark val="out"/>
        <c:minorTickMark val="none"/>
        <c:tickLblPos val="nextTo"/>
        <c:crossAx val="81669120"/>
        <c:crosses val="autoZero"/>
        <c:auto val="1"/>
        <c:lblAlgn val="ctr"/>
        <c:lblOffset val="100"/>
        <c:noMultiLvlLbl val="0"/>
      </c:catAx>
      <c:valAx>
        <c:axId val="81669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66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790830107397672"/>
          <c:y val="2.2008158086264933E-2"/>
          <c:w val="0.41201071881607604"/>
          <c:h val="0.38039618438119649"/>
        </c:manualLayout>
      </c:layout>
      <c:overlay val="0"/>
      <c:txPr>
        <a:bodyPr/>
        <a:lstStyle/>
        <a:p>
          <a:pPr>
            <a:defRPr sz="11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51211</xdr:rowOff>
    </xdr:from>
    <xdr:to>
      <xdr:col>0</xdr:col>
      <xdr:colOff>0</xdr:colOff>
      <xdr:row>43</xdr:row>
      <xdr:rowOff>133146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57150</xdr:colOff>
      <xdr:row>0</xdr:row>
      <xdr:rowOff>57151</xdr:rowOff>
    </xdr:from>
    <xdr:to>
      <xdr:col>23</xdr:col>
      <xdr:colOff>790575</xdr:colOff>
      <xdr:row>0</xdr:row>
      <xdr:rowOff>644111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7575" y="57151"/>
          <a:ext cx="1581150" cy="586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51211</xdr:rowOff>
    </xdr:from>
    <xdr:to>
      <xdr:col>1</xdr:col>
      <xdr:colOff>0</xdr:colOff>
      <xdr:row>36</xdr:row>
      <xdr:rowOff>133146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386580</xdr:colOff>
      <xdr:row>0</xdr:row>
      <xdr:rowOff>59531</xdr:rowOff>
    </xdr:from>
    <xdr:to>
      <xdr:col>6</xdr:col>
      <xdr:colOff>1015578</xdr:colOff>
      <xdr:row>0</xdr:row>
      <xdr:rowOff>657225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5330" y="59531"/>
          <a:ext cx="1676748" cy="5976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bruikersgegevens\geeraebe\Documents\Inverde\REKENTOOLS\Houtige%20restproducten\Rekenbladen%20KOSTENBATENANALYSE\Volumebepaling%20ENERGIE-,%20INDUSTRIE-%20en%20WERKHO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eraebe\AppData\Local\Microsoft\Windows\Temporary%20Internet%20Files\Content.Outlook\RKN5APQH\Volumebepaling%20ENERGIE-,%20INDUSTRIE-%20en%20WERKH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blad kostenbatenanalyse"/>
      <sheetName val="Parameters algemeen"/>
      <sheetName val="Parameters volumebepaling"/>
    </sheetNames>
    <sheetDataSet>
      <sheetData sheetId="0"/>
      <sheetData sheetId="1"/>
      <sheetData sheetId="2">
        <row r="43">
          <cell r="B43" t="str">
            <v>Werkhout</v>
          </cell>
          <cell r="C43">
            <v>133.88207148256137</v>
          </cell>
        </row>
        <row r="44">
          <cell r="B44" t="str">
            <v>Industriehout</v>
          </cell>
          <cell r="C44">
            <v>268.90815937803677</v>
          </cell>
        </row>
        <row r="45">
          <cell r="B45" t="str">
            <v>Energiehout</v>
          </cell>
          <cell r="C45">
            <v>113.98126913940183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blad kostenbatenanalyse"/>
      <sheetName val="Parameters algemeen"/>
      <sheetName val="Parameters volumebepaling"/>
    </sheetNames>
    <sheetDataSet>
      <sheetData sheetId="0"/>
      <sheetData sheetId="1"/>
      <sheetData sheetId="2">
        <row r="43">
          <cell r="B43" t="str">
            <v>Werkhout</v>
          </cell>
          <cell r="C43">
            <v>133.88207148256137</v>
          </cell>
        </row>
        <row r="44">
          <cell r="B44" t="str">
            <v>Industriehout</v>
          </cell>
          <cell r="C44">
            <v>268.90815937803677</v>
          </cell>
        </row>
        <row r="45">
          <cell r="B45" t="str">
            <v>Energiehout</v>
          </cell>
          <cell r="C45">
            <v>113.98126913940183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71"/>
  <sheetViews>
    <sheetView tabSelected="1" zoomScale="80" zoomScaleNormal="80" workbookViewId="0">
      <selection activeCell="AB18" sqref="AB18"/>
    </sheetView>
  </sheetViews>
  <sheetFormatPr defaultRowHeight="15" x14ac:dyDescent="0.25"/>
  <cols>
    <col min="1" max="2" width="12.7109375" customWidth="1"/>
    <col min="3" max="3" width="12.5703125" customWidth="1"/>
    <col min="4" max="4" width="12.85546875" hidden="1" customWidth="1"/>
    <col min="5" max="8" width="12.7109375" customWidth="1"/>
    <col min="9" max="9" width="12.5703125" customWidth="1"/>
    <col min="10" max="10" width="12.7109375" hidden="1" customWidth="1"/>
    <col min="11" max="14" width="12.7109375" customWidth="1"/>
    <col min="15" max="15" width="12.5703125" customWidth="1"/>
    <col min="16" max="16" width="12.7109375" hidden="1" customWidth="1"/>
    <col min="17" max="20" width="12.7109375" customWidth="1"/>
    <col min="21" max="21" width="12.140625" customWidth="1"/>
    <col min="22" max="22" width="12.7109375" hidden="1" customWidth="1"/>
    <col min="23" max="24" width="12.7109375" customWidth="1"/>
  </cols>
  <sheetData>
    <row r="1" spans="1:25" ht="54" customHeight="1" x14ac:dyDescent="0.25">
      <c r="A1" s="284" t="s">
        <v>119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6"/>
    </row>
    <row r="2" spans="1:25" x14ac:dyDescent="0.25">
      <c r="A2" s="290" t="s">
        <v>104</v>
      </c>
      <c r="B2" s="291"/>
      <c r="C2" s="291"/>
      <c r="D2" s="291"/>
      <c r="E2" s="291"/>
      <c r="F2" s="291"/>
      <c r="G2" s="291"/>
      <c r="H2" s="291"/>
      <c r="I2" s="291"/>
      <c r="J2" s="181"/>
      <c r="K2" s="181"/>
      <c r="L2" s="18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</row>
    <row r="3" spans="1:25" ht="6" customHeight="1" x14ac:dyDescent="0.25">
      <c r="A3" s="59"/>
      <c r="B3" s="2"/>
      <c r="C3" s="2"/>
      <c r="D3" s="2"/>
      <c r="E3" s="2"/>
      <c r="F3" s="2"/>
      <c r="G3" s="2"/>
      <c r="H3" s="2"/>
      <c r="I3" s="32"/>
      <c r="J3" s="2"/>
      <c r="K3" s="3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5" x14ac:dyDescent="0.25">
      <c r="A4" s="59"/>
      <c r="B4" s="72" t="s">
        <v>5</v>
      </c>
      <c r="C4" s="3"/>
      <c r="D4" s="120"/>
      <c r="E4" s="72" t="s">
        <v>26</v>
      </c>
      <c r="F4" s="2"/>
      <c r="G4" s="73" t="s">
        <v>22</v>
      </c>
      <c r="H4" s="120"/>
      <c r="I4" s="73" t="s">
        <v>27</v>
      </c>
      <c r="K4" s="120"/>
      <c r="L4" s="1"/>
      <c r="M4" s="120"/>
      <c r="N4" s="72" t="s">
        <v>7</v>
      </c>
      <c r="O4" s="120"/>
      <c r="P4" s="120"/>
      <c r="Q4" s="72" t="s">
        <v>15</v>
      </c>
      <c r="R4" s="2"/>
      <c r="S4" s="72" t="s">
        <v>4</v>
      </c>
      <c r="U4" s="72" t="s">
        <v>3</v>
      </c>
      <c r="V4" s="120"/>
      <c r="W4" s="120"/>
      <c r="X4" s="1"/>
    </row>
    <row r="5" spans="1:25" x14ac:dyDescent="0.25">
      <c r="A5" s="4"/>
      <c r="B5" s="54">
        <v>100</v>
      </c>
      <c r="C5" s="2" t="s">
        <v>6</v>
      </c>
      <c r="E5" s="54">
        <v>15</v>
      </c>
      <c r="F5" s="2" t="s">
        <v>8</v>
      </c>
      <c r="G5" s="53" t="s">
        <v>20</v>
      </c>
      <c r="H5" s="120"/>
      <c r="I5" s="53" t="s">
        <v>107</v>
      </c>
      <c r="J5" s="120"/>
      <c r="K5" s="120"/>
      <c r="L5" s="1"/>
      <c r="M5" s="120"/>
      <c r="N5" s="109">
        <f>VLOOKUP(E5,Parameters!B6:C10,2,FALSE)</f>
        <v>7.0685834705770345</v>
      </c>
      <c r="O5" s="2" t="s">
        <v>6</v>
      </c>
      <c r="Q5" s="25">
        <f>SUM(E33,K33,Q33,W33,E61,K61,E10,Q61,W61)</f>
        <v>0.17510999999999999</v>
      </c>
      <c r="R5" s="2" t="s">
        <v>9</v>
      </c>
      <c r="S5" s="109">
        <f>N5*U5</f>
        <v>0</v>
      </c>
      <c r="T5" s="2" t="s">
        <v>6</v>
      </c>
      <c r="U5" s="68">
        <f>SUM(Parameters!E5:E12)</f>
        <v>0</v>
      </c>
      <c r="V5" s="120"/>
      <c r="W5" s="120"/>
      <c r="X5" s="1"/>
    </row>
    <row r="6" spans="1:25" x14ac:dyDescent="0.25">
      <c r="A6" s="113"/>
      <c r="B6" s="2"/>
      <c r="C6" s="2"/>
      <c r="D6" s="2"/>
      <c r="E6" s="2"/>
      <c r="F6" s="2"/>
      <c r="G6" s="2"/>
      <c r="H6" s="14"/>
      <c r="I6" s="14"/>
      <c r="J6" s="14"/>
      <c r="K6" s="14"/>
      <c r="L6" s="1"/>
      <c r="M6" s="2"/>
      <c r="N6" s="2"/>
      <c r="O6" s="2"/>
      <c r="P6" s="2"/>
      <c r="Q6" s="3"/>
      <c r="R6" s="2"/>
      <c r="S6" s="2"/>
      <c r="T6" s="2"/>
      <c r="U6" s="2"/>
      <c r="V6" s="2"/>
      <c r="W6" s="2"/>
      <c r="X6" s="1"/>
    </row>
    <row r="7" spans="1:25" ht="15.75" thickBot="1" x14ac:dyDescent="0.3">
      <c r="A7" s="287" t="s">
        <v>102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9"/>
      <c r="Y7" s="3"/>
    </row>
    <row r="8" spans="1:25" ht="15.75" thickBot="1" x14ac:dyDescent="0.3">
      <c r="A8" s="282" t="s">
        <v>29</v>
      </c>
      <c r="B8" s="283"/>
      <c r="C8" s="277"/>
      <c r="D8" s="277"/>
      <c r="E8" s="277"/>
      <c r="F8" s="278"/>
      <c r="G8" s="282" t="s">
        <v>30</v>
      </c>
      <c r="H8" s="283"/>
      <c r="I8" s="277"/>
      <c r="J8" s="277"/>
      <c r="K8" s="277"/>
      <c r="L8" s="278"/>
      <c r="M8" s="282" t="s">
        <v>31</v>
      </c>
      <c r="N8" s="283"/>
      <c r="O8" s="277"/>
      <c r="P8" s="277"/>
      <c r="Q8" s="277"/>
      <c r="R8" s="278"/>
      <c r="S8" s="282" t="s">
        <v>32</v>
      </c>
      <c r="T8" s="283"/>
      <c r="U8" s="277"/>
      <c r="V8" s="277"/>
      <c r="W8" s="277"/>
      <c r="X8" s="278"/>
    </row>
    <row r="9" spans="1:25" ht="99.75" customHeight="1" thickBot="1" x14ac:dyDescent="0.3">
      <c r="A9" s="27" t="s">
        <v>39</v>
      </c>
      <c r="B9" s="28" t="s">
        <v>17</v>
      </c>
      <c r="C9" s="26" t="s">
        <v>13</v>
      </c>
      <c r="D9" s="208" t="s">
        <v>117</v>
      </c>
      <c r="E9" s="172" t="s">
        <v>121</v>
      </c>
      <c r="F9" s="29" t="s">
        <v>84</v>
      </c>
      <c r="G9" s="27" t="s">
        <v>39</v>
      </c>
      <c r="H9" s="28" t="s">
        <v>17</v>
      </c>
      <c r="I9" s="28" t="s">
        <v>13</v>
      </c>
      <c r="J9" s="208" t="s">
        <v>117</v>
      </c>
      <c r="K9" s="172" t="s">
        <v>121</v>
      </c>
      <c r="L9" s="29" t="s">
        <v>84</v>
      </c>
      <c r="M9" s="27" t="s">
        <v>39</v>
      </c>
      <c r="N9" s="28" t="s">
        <v>17</v>
      </c>
      <c r="O9" s="28" t="s">
        <v>13</v>
      </c>
      <c r="P9" s="208" t="s">
        <v>117</v>
      </c>
      <c r="Q9" s="172" t="s">
        <v>121</v>
      </c>
      <c r="R9" s="29" t="s">
        <v>84</v>
      </c>
      <c r="S9" s="27" t="s">
        <v>39</v>
      </c>
      <c r="T9" s="28" t="s">
        <v>17</v>
      </c>
      <c r="U9" s="28" t="s">
        <v>13</v>
      </c>
      <c r="V9" s="208" t="s">
        <v>117</v>
      </c>
      <c r="W9" s="172" t="s">
        <v>121</v>
      </c>
      <c r="X9" s="29" t="s">
        <v>84</v>
      </c>
    </row>
    <row r="10" spans="1:25" x14ac:dyDescent="0.25">
      <c r="A10" s="262" t="s">
        <v>124</v>
      </c>
      <c r="B10" s="257"/>
      <c r="C10" s="257"/>
      <c r="D10" s="169">
        <f>VLOOKUP($G$5,Parameters!$B$127:$U$142,2,FALSE)*Parameters!$V$126</f>
        <v>1.6739999999999999</v>
      </c>
      <c r="E10" s="79">
        <f>Parameters!$C47-('Concentrische proefvlakken'!$D10/100)*(('Concentrische proefvlakken'!$B10/2)-1.5)</f>
        <v>0.17510999999999999</v>
      </c>
      <c r="F10" s="177">
        <f t="shared" ref="F10:F28" si="0">(0.0785*E10*E10*B10)*C10</f>
        <v>0</v>
      </c>
      <c r="G10" s="262" t="s">
        <v>124</v>
      </c>
      <c r="H10" s="249"/>
      <c r="I10" s="249"/>
      <c r="J10" s="169">
        <f>VLOOKUP($G$5,Parameters!$B$127:$U$142,2,FALSE)*Parameters!$V$126</f>
        <v>1.6739999999999999</v>
      </c>
      <c r="K10" s="15">
        <f>Parameters!$C47-('Concentrische proefvlakken'!$J10/100)*(('Concentrische proefvlakken'!$H10/2)-1.5)</f>
        <v>0.17510999999999999</v>
      </c>
      <c r="L10" s="177">
        <f>(0.0785*K10*K10*H10)*I10</f>
        <v>0</v>
      </c>
      <c r="M10" s="262" t="s">
        <v>124</v>
      </c>
      <c r="N10" s="251"/>
      <c r="O10" s="251"/>
      <c r="P10" s="169">
        <f>VLOOKUP($G$5,Parameters!$B$127:$U$142,2,FALSE)*Parameters!$V$126</f>
        <v>1.6739999999999999</v>
      </c>
      <c r="Q10" s="79">
        <f>Parameters!$C47-('Concentrische proefvlakken'!$P10/100)*(('Concentrische proefvlakken'!$N10/2)-1.5)</f>
        <v>0.17510999999999999</v>
      </c>
      <c r="R10" s="177">
        <f t="shared" ref="R10:R28" si="1">(0.0785*Q10*Q10*N10)*O10</f>
        <v>0</v>
      </c>
      <c r="S10" s="262" t="s">
        <v>124</v>
      </c>
      <c r="T10" s="253"/>
      <c r="U10" s="253"/>
      <c r="V10" s="169">
        <f>VLOOKUP($G$5,Parameters!$B$127:$U$142,2,FALSE)*Parameters!$V$126</f>
        <v>1.6739999999999999</v>
      </c>
      <c r="W10" s="15">
        <f>Parameters!$C47-('Concentrische proefvlakken'!$V10/100)*(('Concentrische proefvlakken'!$T10/2)-1.5)</f>
        <v>0.17510999999999999</v>
      </c>
      <c r="X10" s="178">
        <f t="shared" ref="X10:X28" si="2">(0.0785*W10*W10*T10)*U10</f>
        <v>0</v>
      </c>
    </row>
    <row r="11" spans="1:25" x14ac:dyDescent="0.25">
      <c r="A11" s="13" t="s">
        <v>40</v>
      </c>
      <c r="B11" s="258"/>
      <c r="C11" s="258"/>
      <c r="D11" s="170">
        <f>VLOOKUP($G$5,Parameters!$B$127:$U$142,3,FALSE)*Parameters!$V$126</f>
        <v>1.6739999999999999</v>
      </c>
      <c r="E11" s="80">
        <f>Parameters!$C48-('Concentrische proefvlakken'!$D11/100)*(('Concentrische proefvlakken'!$B11/2)-1.5)</f>
        <v>0.27511000000000002</v>
      </c>
      <c r="F11" s="178">
        <f t="shared" si="0"/>
        <v>0</v>
      </c>
      <c r="G11" s="174" t="s">
        <v>40</v>
      </c>
      <c r="H11" s="250"/>
      <c r="I11" s="250"/>
      <c r="J11" s="170">
        <f>VLOOKUP($G$5,Parameters!$B$127:$U$142,3,FALSE)*Parameters!$V$126</f>
        <v>1.6739999999999999</v>
      </c>
      <c r="K11" s="16">
        <f>Parameters!$C48-('Concentrische proefvlakken'!$J11/100)*(('Concentrische proefvlakken'!$H11/2)-1.5)</f>
        <v>0.27511000000000002</v>
      </c>
      <c r="L11" s="171">
        <f>(0.0785*K11*K11*H11)*I11</f>
        <v>0</v>
      </c>
      <c r="M11" s="13" t="s">
        <v>40</v>
      </c>
      <c r="N11" s="252"/>
      <c r="O11" s="252"/>
      <c r="P11" s="170">
        <f>VLOOKUP($G$5,Parameters!$B$127:$U$142,3,FALSE)*Parameters!$V$126</f>
        <v>1.6739999999999999</v>
      </c>
      <c r="Q11" s="80">
        <f>Parameters!$C48-('Concentrische proefvlakken'!$P11/100)*(('Concentrische proefvlakken'!$N11/2)-1.5)</f>
        <v>0.27511000000000002</v>
      </c>
      <c r="R11" s="171">
        <f t="shared" si="1"/>
        <v>0</v>
      </c>
      <c r="S11" s="13" t="s">
        <v>40</v>
      </c>
      <c r="T11" s="254"/>
      <c r="U11" s="254"/>
      <c r="V11" s="170">
        <f>VLOOKUP($G$5,Parameters!$B$127:$U$142,3,FALSE)*Parameters!$V$126</f>
        <v>1.6739999999999999</v>
      </c>
      <c r="W11" s="16">
        <f>Parameters!$C48-('Concentrische proefvlakken'!$V11/100)*(('Concentrische proefvlakken'!$T11/2)-1.5)</f>
        <v>0.27511000000000002</v>
      </c>
      <c r="X11" s="178">
        <f t="shared" si="2"/>
        <v>0</v>
      </c>
    </row>
    <row r="12" spans="1:25" x14ac:dyDescent="0.25">
      <c r="A12" s="13" t="s">
        <v>41</v>
      </c>
      <c r="B12" s="258"/>
      <c r="C12" s="258"/>
      <c r="D12" s="170">
        <f>VLOOKUP($G$5,Parameters!$B$127:$U$142,4,FALSE)*Parameters!$V$126</f>
        <v>1.6739999999999999</v>
      </c>
      <c r="E12" s="80">
        <f>Parameters!$C49-('Concentrische proefvlakken'!$D12/100)*(('Concentrische proefvlakken'!$B12/2)-1.5)</f>
        <v>0.37511</v>
      </c>
      <c r="F12" s="178">
        <f t="shared" si="0"/>
        <v>0</v>
      </c>
      <c r="G12" s="174" t="s">
        <v>41</v>
      </c>
      <c r="H12" s="250"/>
      <c r="I12" s="250"/>
      <c r="J12" s="170">
        <f>VLOOKUP($G$5,Parameters!$B$127:$U$142,4,FALSE)*Parameters!$V$126</f>
        <v>1.6739999999999999</v>
      </c>
      <c r="K12" s="16">
        <f>Parameters!$C49-('Concentrische proefvlakken'!$J12/100)*(('Concentrische proefvlakken'!$H12/2)-1.5)</f>
        <v>0.37511</v>
      </c>
      <c r="L12" s="171">
        <f t="shared" ref="L12:L28" si="3">(0.0785*K12*K12*H12)*I12</f>
        <v>0</v>
      </c>
      <c r="M12" s="13" t="s">
        <v>41</v>
      </c>
      <c r="N12" s="252"/>
      <c r="O12" s="252"/>
      <c r="P12" s="170">
        <f>VLOOKUP($G$5,Parameters!$B$127:$U$142,4,FALSE)*Parameters!$V$126</f>
        <v>1.6739999999999999</v>
      </c>
      <c r="Q12" s="80">
        <f>Parameters!$C49-('Concentrische proefvlakken'!$P12/100)*(('Concentrische proefvlakken'!$N12/2)-1.5)</f>
        <v>0.37511</v>
      </c>
      <c r="R12" s="171">
        <f t="shared" si="1"/>
        <v>0</v>
      </c>
      <c r="S12" s="13" t="s">
        <v>41</v>
      </c>
      <c r="T12" s="254"/>
      <c r="U12" s="254"/>
      <c r="V12" s="170">
        <f>VLOOKUP($G$5,Parameters!$B$127:$U$142,4,FALSE)*Parameters!$V$126</f>
        <v>1.6739999999999999</v>
      </c>
      <c r="W12" s="16">
        <f>Parameters!$C49-('Concentrische proefvlakken'!$V12/100)*(('Concentrische proefvlakken'!$T12/2)-1.5)</f>
        <v>0.37511</v>
      </c>
      <c r="X12" s="178">
        <f t="shared" si="2"/>
        <v>0</v>
      </c>
    </row>
    <row r="13" spans="1:25" x14ac:dyDescent="0.25">
      <c r="A13" s="13" t="s">
        <v>42</v>
      </c>
      <c r="B13" s="258"/>
      <c r="C13" s="258"/>
      <c r="D13" s="170">
        <f>VLOOKUP($G$5,Parameters!$B$127:$U$142,5,FALSE)*Parameters!$V$126</f>
        <v>2.5110000000000001</v>
      </c>
      <c r="E13" s="80">
        <f>Parameters!$C50-('Concentrische proefvlakken'!$D13/100)*(('Concentrische proefvlakken'!$B13/2)-1.5)</f>
        <v>0.48766500000000002</v>
      </c>
      <c r="F13" s="178">
        <f t="shared" si="0"/>
        <v>0</v>
      </c>
      <c r="G13" s="174" t="s">
        <v>42</v>
      </c>
      <c r="H13" s="250"/>
      <c r="I13" s="250"/>
      <c r="J13" s="170">
        <f>VLOOKUP($G$5,Parameters!$B$127:$U$142,5,FALSE)*Parameters!$V$126</f>
        <v>2.5110000000000001</v>
      </c>
      <c r="K13" s="16">
        <f>Parameters!$C50-('Concentrische proefvlakken'!$J13/100)*(('Concentrische proefvlakken'!$H13/2)-1.5)</f>
        <v>0.48766500000000002</v>
      </c>
      <c r="L13" s="171">
        <f t="shared" si="3"/>
        <v>0</v>
      </c>
      <c r="M13" s="13" t="s">
        <v>42</v>
      </c>
      <c r="N13" s="252"/>
      <c r="O13" s="252"/>
      <c r="P13" s="170">
        <f>VLOOKUP($G$5,Parameters!$B$127:$U$142,5,FALSE)*Parameters!$V$126</f>
        <v>2.5110000000000001</v>
      </c>
      <c r="Q13" s="80">
        <f>Parameters!$C50-('Concentrische proefvlakken'!$P13/100)*(('Concentrische proefvlakken'!$N13/2)-1.5)</f>
        <v>0.48766500000000002</v>
      </c>
      <c r="R13" s="171">
        <f t="shared" si="1"/>
        <v>0</v>
      </c>
      <c r="S13" s="13" t="s">
        <v>42</v>
      </c>
      <c r="T13" s="254"/>
      <c r="U13" s="254"/>
      <c r="V13" s="170">
        <f>VLOOKUP($G$5,Parameters!$B$127:$U$142,5,FALSE)*Parameters!$V$126</f>
        <v>2.5110000000000001</v>
      </c>
      <c r="W13" s="16">
        <f>Parameters!$C50-('Concentrische proefvlakken'!$V13/100)*(('Concentrische proefvlakken'!$T13/2)-1.5)</f>
        <v>0.48766500000000002</v>
      </c>
      <c r="X13" s="178">
        <f t="shared" si="2"/>
        <v>0</v>
      </c>
    </row>
    <row r="14" spans="1:25" x14ac:dyDescent="0.25">
      <c r="A14" s="13" t="s">
        <v>43</v>
      </c>
      <c r="B14" s="248"/>
      <c r="C14" s="248"/>
      <c r="D14" s="170">
        <f>VLOOKUP($G$5,Parameters!$B$127:$U$142,6,FALSE)*Parameters!$V$126</f>
        <v>2.5110000000000001</v>
      </c>
      <c r="E14" s="80">
        <f>Parameters!$C51-('Concentrische proefvlakken'!$D14/100)*(('Concentrische proefvlakken'!$B14/2)-1.5)</f>
        <v>0.5876650000000001</v>
      </c>
      <c r="F14" s="178">
        <f t="shared" si="0"/>
        <v>0</v>
      </c>
      <c r="G14" s="174" t="s">
        <v>43</v>
      </c>
      <c r="H14" s="250"/>
      <c r="I14" s="250"/>
      <c r="J14" s="170">
        <f>VLOOKUP($G$5,Parameters!$B$127:$U$142,6,FALSE)*Parameters!$V$126</f>
        <v>2.5110000000000001</v>
      </c>
      <c r="K14" s="16">
        <f>Parameters!$C51-('Concentrische proefvlakken'!$J14/100)*(('Concentrische proefvlakken'!$H14/2)-1.5)</f>
        <v>0.5876650000000001</v>
      </c>
      <c r="L14" s="171">
        <f t="shared" si="3"/>
        <v>0</v>
      </c>
      <c r="M14" s="13" t="s">
        <v>43</v>
      </c>
      <c r="N14" s="252"/>
      <c r="O14" s="252"/>
      <c r="P14" s="170">
        <f>VLOOKUP($G$5,Parameters!$B$127:$U$142,6,FALSE)*Parameters!$V$126</f>
        <v>2.5110000000000001</v>
      </c>
      <c r="Q14" s="80">
        <f>Parameters!$C51-('Concentrische proefvlakken'!$P14/100)*(('Concentrische proefvlakken'!$N14/2)-1.5)</f>
        <v>0.5876650000000001</v>
      </c>
      <c r="R14" s="171">
        <f t="shared" si="1"/>
        <v>0</v>
      </c>
      <c r="S14" s="13" t="s">
        <v>43</v>
      </c>
      <c r="T14" s="254"/>
      <c r="U14" s="254"/>
      <c r="V14" s="170">
        <f>VLOOKUP($G$5,Parameters!$B$127:$U$142,6,FALSE)*Parameters!$V$126</f>
        <v>2.5110000000000001</v>
      </c>
      <c r="W14" s="16">
        <f>Parameters!$C51-('Concentrische proefvlakken'!$V14/100)*(('Concentrische proefvlakken'!$T14/2)-1.5)</f>
        <v>0.5876650000000001</v>
      </c>
      <c r="X14" s="178">
        <f t="shared" si="2"/>
        <v>0</v>
      </c>
    </row>
    <row r="15" spans="1:25" x14ac:dyDescent="0.25">
      <c r="A15" s="13" t="s">
        <v>44</v>
      </c>
      <c r="B15" s="248"/>
      <c r="C15" s="248"/>
      <c r="D15" s="170">
        <f>VLOOKUP($G$5,Parameters!$B$127:$U$142,7,FALSE)*Parameters!$V$126</f>
        <v>3.3479999999999999</v>
      </c>
      <c r="E15" s="80">
        <f>Parameters!$C52-('Concentrische proefvlakken'!$D15/100)*(('Concentrische proefvlakken'!$B15/2)-1.5)</f>
        <v>0.70022000000000006</v>
      </c>
      <c r="F15" s="178">
        <f t="shared" si="0"/>
        <v>0</v>
      </c>
      <c r="G15" s="174" t="s">
        <v>44</v>
      </c>
      <c r="H15" s="250"/>
      <c r="I15" s="250"/>
      <c r="J15" s="170">
        <f>VLOOKUP($G$5,Parameters!$B$127:$U$142,7,FALSE)*Parameters!$V$126</f>
        <v>3.3479999999999999</v>
      </c>
      <c r="K15" s="16">
        <f>Parameters!$C52-('Concentrische proefvlakken'!$J15/100)*(('Concentrische proefvlakken'!$H15/2)-1.5)</f>
        <v>0.70022000000000006</v>
      </c>
      <c r="L15" s="171">
        <f t="shared" si="3"/>
        <v>0</v>
      </c>
      <c r="M15" s="13" t="s">
        <v>44</v>
      </c>
      <c r="N15" s="252"/>
      <c r="O15" s="252"/>
      <c r="P15" s="170">
        <f>VLOOKUP($G$5,Parameters!$B$127:$U$142,7,FALSE)*Parameters!$V$126</f>
        <v>3.3479999999999999</v>
      </c>
      <c r="Q15" s="80">
        <f>Parameters!$C52-('Concentrische proefvlakken'!$P15/100)*(('Concentrische proefvlakken'!$N15/2)-1.5)</f>
        <v>0.70022000000000006</v>
      </c>
      <c r="R15" s="171">
        <f t="shared" si="1"/>
        <v>0</v>
      </c>
      <c r="S15" s="13" t="s">
        <v>44</v>
      </c>
      <c r="T15" s="254"/>
      <c r="U15" s="254"/>
      <c r="V15" s="170">
        <f>VLOOKUP($G$5,Parameters!$B$127:$U$142,7,FALSE)*Parameters!$V$126</f>
        <v>3.3479999999999999</v>
      </c>
      <c r="W15" s="16">
        <f>Parameters!$C52-('Concentrische proefvlakken'!$V15/100)*(('Concentrische proefvlakken'!$T15/2)-1.5)</f>
        <v>0.70022000000000006</v>
      </c>
      <c r="X15" s="178">
        <f t="shared" si="2"/>
        <v>0</v>
      </c>
    </row>
    <row r="16" spans="1:25" x14ac:dyDescent="0.25">
      <c r="A16" s="13" t="s">
        <v>45</v>
      </c>
      <c r="B16" s="248"/>
      <c r="C16" s="248"/>
      <c r="D16" s="170">
        <f>VLOOKUP($G$5,Parameters!$B$127:$U$142,8,FALSE)*Parameters!$V$126</f>
        <v>3.3479999999999999</v>
      </c>
      <c r="E16" s="80">
        <f>Parameters!$C53-('Concentrische proefvlakken'!$D16/100)*(('Concentrische proefvlakken'!$B16/2)-1.5)</f>
        <v>0.80022000000000004</v>
      </c>
      <c r="F16" s="178">
        <f t="shared" si="0"/>
        <v>0</v>
      </c>
      <c r="G16" s="174" t="s">
        <v>45</v>
      </c>
      <c r="H16" s="250"/>
      <c r="I16" s="250"/>
      <c r="J16" s="170">
        <f>VLOOKUP($G$5,Parameters!$B$127:$U$142,8,FALSE)*Parameters!$V$126</f>
        <v>3.3479999999999999</v>
      </c>
      <c r="K16" s="16">
        <f>Parameters!$C53-('Concentrische proefvlakken'!$J16/100)*(('Concentrische proefvlakken'!$H16/2)-1.5)</f>
        <v>0.80022000000000004</v>
      </c>
      <c r="L16" s="171">
        <f t="shared" si="3"/>
        <v>0</v>
      </c>
      <c r="M16" s="13" t="s">
        <v>45</v>
      </c>
      <c r="N16" s="252"/>
      <c r="O16" s="252"/>
      <c r="P16" s="170">
        <f>VLOOKUP($G$5,Parameters!$B$127:$U$142,8,FALSE)*Parameters!$V$126</f>
        <v>3.3479999999999999</v>
      </c>
      <c r="Q16" s="80">
        <f>Parameters!$C53-('Concentrische proefvlakken'!$P16/100)*(('Concentrische proefvlakken'!$N16/2)-1.5)</f>
        <v>0.80022000000000004</v>
      </c>
      <c r="R16" s="171">
        <f t="shared" si="1"/>
        <v>0</v>
      </c>
      <c r="S16" s="13" t="s">
        <v>45</v>
      </c>
      <c r="T16" s="254"/>
      <c r="U16" s="254"/>
      <c r="V16" s="170">
        <f>VLOOKUP($G$5,Parameters!$B$127:$U$142,8,FALSE)*Parameters!$V$126</f>
        <v>3.3479999999999999</v>
      </c>
      <c r="W16" s="16">
        <f>Parameters!$C53-('Concentrische proefvlakken'!$V16/100)*(('Concentrische proefvlakken'!$T16/2)-1.5)</f>
        <v>0.80022000000000004</v>
      </c>
      <c r="X16" s="178">
        <f t="shared" si="2"/>
        <v>0</v>
      </c>
    </row>
    <row r="17" spans="1:24" x14ac:dyDescent="0.25">
      <c r="A17" s="13" t="s">
        <v>46</v>
      </c>
      <c r="B17" s="53"/>
      <c r="C17" s="53"/>
      <c r="D17" s="170">
        <f>VLOOKUP($G$5,Parameters!$B$127:$U$142,9,FALSE)*Parameters!$V$126</f>
        <v>4.1849999999999996</v>
      </c>
      <c r="E17" s="80">
        <f>Parameters!$C54-('Concentrische proefvlakken'!$D17/100)*(('Concentrische proefvlakken'!$B17/2)-1.5)</f>
        <v>0.912775</v>
      </c>
      <c r="F17" s="178">
        <f t="shared" si="0"/>
        <v>0</v>
      </c>
      <c r="G17" s="174" t="s">
        <v>46</v>
      </c>
      <c r="H17" s="53"/>
      <c r="I17" s="53"/>
      <c r="J17" s="170">
        <f>VLOOKUP($G$5,Parameters!$B$127:$U$142,9,FALSE)*Parameters!$V$126</f>
        <v>4.1849999999999996</v>
      </c>
      <c r="K17" s="16">
        <f>Parameters!$C54-('Concentrische proefvlakken'!$J17/100)*(('Concentrische proefvlakken'!$H17/2)-1.5)</f>
        <v>0.912775</v>
      </c>
      <c r="L17" s="171">
        <f t="shared" si="3"/>
        <v>0</v>
      </c>
      <c r="M17" s="13" t="s">
        <v>46</v>
      </c>
      <c r="N17" s="252"/>
      <c r="O17" s="252"/>
      <c r="P17" s="170">
        <f>VLOOKUP($G$5,Parameters!$B$127:$U$142,9,FALSE)*Parameters!$V$126</f>
        <v>4.1849999999999996</v>
      </c>
      <c r="Q17" s="80">
        <f>Parameters!$C54-('Concentrische proefvlakken'!$P17/100)*(('Concentrische proefvlakken'!$N17/2)-1.5)</f>
        <v>0.912775</v>
      </c>
      <c r="R17" s="171">
        <f t="shared" si="1"/>
        <v>0</v>
      </c>
      <c r="S17" s="13" t="s">
        <v>46</v>
      </c>
      <c r="T17" s="254"/>
      <c r="U17" s="254"/>
      <c r="V17" s="170">
        <f>VLOOKUP($G$5,Parameters!$B$127:$U$142,9,FALSE)*Parameters!$V$126</f>
        <v>4.1849999999999996</v>
      </c>
      <c r="W17" s="16">
        <f>Parameters!$C54-('Concentrische proefvlakken'!$V17/100)*(('Concentrische proefvlakken'!$T17/2)-1.5)</f>
        <v>0.912775</v>
      </c>
      <c r="X17" s="178">
        <f t="shared" si="2"/>
        <v>0</v>
      </c>
    </row>
    <row r="18" spans="1:24" x14ac:dyDescent="0.25">
      <c r="A18" s="13" t="s">
        <v>47</v>
      </c>
      <c r="B18" s="53"/>
      <c r="C18" s="53"/>
      <c r="D18" s="170">
        <f>VLOOKUP($G$5,Parameters!$B$127:$U$142,10,FALSE)*Parameters!$V$126</f>
        <v>4.1849999999999996</v>
      </c>
      <c r="E18" s="80">
        <f>Parameters!$C55-('Concentrische proefvlakken'!$D18/100)*(('Concentrische proefvlakken'!$B18/2)-1.5)</f>
        <v>1.012775</v>
      </c>
      <c r="F18" s="178">
        <f t="shared" si="0"/>
        <v>0</v>
      </c>
      <c r="G18" s="174" t="s">
        <v>47</v>
      </c>
      <c r="H18" s="53"/>
      <c r="I18" s="53"/>
      <c r="J18" s="170">
        <f>VLOOKUP($G$5,Parameters!$B$127:$U$142,10,FALSE)*Parameters!$V$126</f>
        <v>4.1849999999999996</v>
      </c>
      <c r="K18" s="16">
        <f>Parameters!$C55-('Concentrische proefvlakken'!$J18/100)*(('Concentrische proefvlakken'!$H18/2)-1.5)</f>
        <v>1.012775</v>
      </c>
      <c r="L18" s="171">
        <f t="shared" si="3"/>
        <v>0</v>
      </c>
      <c r="M18" s="13" t="s">
        <v>47</v>
      </c>
      <c r="N18" s="53"/>
      <c r="O18" s="53"/>
      <c r="P18" s="170">
        <f>VLOOKUP($G$5,Parameters!$B$127:$U$142,10,FALSE)*Parameters!$V$126</f>
        <v>4.1849999999999996</v>
      </c>
      <c r="Q18" s="80">
        <f>Parameters!$C55-('Concentrische proefvlakken'!$P18/100)*(('Concentrische proefvlakken'!$N18/2)-1.5)</f>
        <v>1.012775</v>
      </c>
      <c r="R18" s="171">
        <f t="shared" si="1"/>
        <v>0</v>
      </c>
      <c r="S18" s="13" t="s">
        <v>47</v>
      </c>
      <c r="T18" s="254"/>
      <c r="U18" s="254"/>
      <c r="V18" s="170">
        <f>VLOOKUP($G$5,Parameters!$B$127:$U$142,10,FALSE)*Parameters!$V$126</f>
        <v>4.1849999999999996</v>
      </c>
      <c r="W18" s="16">
        <f>Parameters!$C55-('Concentrische proefvlakken'!$V18/100)*(('Concentrische proefvlakken'!$T18/2)-1.5)</f>
        <v>1.012775</v>
      </c>
      <c r="X18" s="178">
        <f t="shared" si="2"/>
        <v>0</v>
      </c>
    </row>
    <row r="19" spans="1:24" x14ac:dyDescent="0.25">
      <c r="A19" s="13" t="s">
        <v>48</v>
      </c>
      <c r="B19" s="53"/>
      <c r="C19" s="53"/>
      <c r="D19" s="170">
        <f>VLOOKUP($G$5,Parameters!$B$127:$U$142,11,FALSE)*Parameters!$V$126</f>
        <v>5.0220000000000002</v>
      </c>
      <c r="E19" s="80">
        <f>Parameters!$C56-('Concentrische proefvlakken'!$D19/100)*(('Concentrische proefvlakken'!$B19/2)-1.5)</f>
        <v>1.1253299999999999</v>
      </c>
      <c r="F19" s="178">
        <f t="shared" si="0"/>
        <v>0</v>
      </c>
      <c r="G19" s="174" t="s">
        <v>48</v>
      </c>
      <c r="H19" s="53"/>
      <c r="I19" s="53"/>
      <c r="J19" s="170">
        <f>VLOOKUP($G$5,Parameters!$B$127:$U$142,11,FALSE)*Parameters!$V$126</f>
        <v>5.0220000000000002</v>
      </c>
      <c r="K19" s="16">
        <f>Parameters!$C56-('Concentrische proefvlakken'!$J19/100)*(('Concentrische proefvlakken'!$H19/2)-1.5)</f>
        <v>1.1253299999999999</v>
      </c>
      <c r="L19" s="171">
        <f t="shared" si="3"/>
        <v>0</v>
      </c>
      <c r="M19" s="13" t="s">
        <v>48</v>
      </c>
      <c r="N19" s="53"/>
      <c r="O19" s="53"/>
      <c r="P19" s="170">
        <f>VLOOKUP($G$5,Parameters!$B$127:$U$142,11,FALSE)*Parameters!$V$126</f>
        <v>5.0220000000000002</v>
      </c>
      <c r="Q19" s="80">
        <f>Parameters!$C56-('Concentrische proefvlakken'!$P19/100)*(('Concentrische proefvlakken'!$N19/2)-1.5)</f>
        <v>1.1253299999999999</v>
      </c>
      <c r="R19" s="171">
        <f t="shared" si="1"/>
        <v>0</v>
      </c>
      <c r="S19" s="13" t="s">
        <v>48</v>
      </c>
      <c r="T19" s="53"/>
      <c r="U19" s="53"/>
      <c r="V19" s="170">
        <f>VLOOKUP($G$5,Parameters!$B$127:$U$142,11,FALSE)*Parameters!$V$126</f>
        <v>5.0220000000000002</v>
      </c>
      <c r="W19" s="16">
        <f>Parameters!$C56-('Concentrische proefvlakken'!$V19/100)*(('Concentrische proefvlakken'!$T19/2)-1.5)</f>
        <v>1.1253299999999999</v>
      </c>
      <c r="X19" s="178">
        <f t="shared" si="2"/>
        <v>0</v>
      </c>
    </row>
    <row r="20" spans="1:24" x14ac:dyDescent="0.25">
      <c r="A20" s="13" t="s">
        <v>49</v>
      </c>
      <c r="B20" s="53"/>
      <c r="C20" s="53"/>
      <c r="D20" s="170">
        <f>VLOOKUP($G$5,Parameters!$B$127:$U$142,12,FALSE)*Parameters!$V$126</f>
        <v>5.0220000000000002</v>
      </c>
      <c r="E20" s="80">
        <f>Parameters!$C57-('Concentrische proefvlakken'!$D20/100)*(('Concentrische proefvlakken'!$B20/2)-1.5)</f>
        <v>1.22533</v>
      </c>
      <c r="F20" s="178">
        <f t="shared" si="0"/>
        <v>0</v>
      </c>
      <c r="G20" s="174" t="s">
        <v>49</v>
      </c>
      <c r="H20" s="53"/>
      <c r="I20" s="53"/>
      <c r="J20" s="170">
        <f>VLOOKUP($G$5,Parameters!$B$127:$U$142,12,FALSE)*Parameters!$V$126</f>
        <v>5.0220000000000002</v>
      </c>
      <c r="K20" s="16">
        <f>Parameters!$C57-('Concentrische proefvlakken'!$J20/100)*(('Concentrische proefvlakken'!$H20/2)-1.5)</f>
        <v>1.22533</v>
      </c>
      <c r="L20" s="171">
        <f t="shared" si="3"/>
        <v>0</v>
      </c>
      <c r="M20" s="13" t="s">
        <v>49</v>
      </c>
      <c r="N20" s="53"/>
      <c r="O20" s="53"/>
      <c r="P20" s="170">
        <f>VLOOKUP($G$5,Parameters!$B$127:$U$142,12,FALSE)*Parameters!$V$126</f>
        <v>5.0220000000000002</v>
      </c>
      <c r="Q20" s="80">
        <f>Parameters!$C57-('Concentrische proefvlakken'!$P20/100)*(('Concentrische proefvlakken'!$N20/2)-1.5)</f>
        <v>1.22533</v>
      </c>
      <c r="R20" s="171">
        <f t="shared" si="1"/>
        <v>0</v>
      </c>
      <c r="S20" s="13" t="s">
        <v>49</v>
      </c>
      <c r="T20" s="53"/>
      <c r="U20" s="53"/>
      <c r="V20" s="170">
        <f>VLOOKUP($G$5,Parameters!$B$127:$U$142,12,FALSE)*Parameters!$V$126</f>
        <v>5.0220000000000002</v>
      </c>
      <c r="W20" s="16">
        <f>Parameters!$C57-('Concentrische proefvlakken'!$V20/100)*(('Concentrische proefvlakken'!$T20/2)-1.5)</f>
        <v>1.22533</v>
      </c>
      <c r="X20" s="178">
        <f t="shared" si="2"/>
        <v>0</v>
      </c>
    </row>
    <row r="21" spans="1:24" x14ac:dyDescent="0.25">
      <c r="A21" s="13" t="s">
        <v>50</v>
      </c>
      <c r="B21" s="53"/>
      <c r="C21" s="53"/>
      <c r="D21" s="170">
        <f>VLOOKUP($G$5,Parameters!$B$127:$U$142,13,FALSE)*Parameters!$V$126</f>
        <v>5.0220000000000002</v>
      </c>
      <c r="E21" s="80">
        <f>Parameters!$C58-('Concentrische proefvlakken'!$D21/100)*(('Concentrische proefvlakken'!$B21/2)-1.5)</f>
        <v>1.3253300000000001</v>
      </c>
      <c r="F21" s="178">
        <f t="shared" si="0"/>
        <v>0</v>
      </c>
      <c r="G21" s="174" t="s">
        <v>50</v>
      </c>
      <c r="H21" s="53"/>
      <c r="I21" s="53"/>
      <c r="J21" s="170">
        <f>VLOOKUP($G$5,Parameters!$B$127:$U$142,13,FALSE)*Parameters!$V$126</f>
        <v>5.0220000000000002</v>
      </c>
      <c r="K21" s="16">
        <f>Parameters!$C58-('Concentrische proefvlakken'!$J21/100)*(('Concentrische proefvlakken'!$H21/2)-1.5)</f>
        <v>1.3253300000000001</v>
      </c>
      <c r="L21" s="171">
        <f t="shared" si="3"/>
        <v>0</v>
      </c>
      <c r="M21" s="13" t="s">
        <v>50</v>
      </c>
      <c r="N21" s="53"/>
      <c r="O21" s="53"/>
      <c r="P21" s="170">
        <f>VLOOKUP($G$5,Parameters!$B$127:$U$142,13,FALSE)*Parameters!$V$126</f>
        <v>5.0220000000000002</v>
      </c>
      <c r="Q21" s="80">
        <f>Parameters!$C58-('Concentrische proefvlakken'!$P21/100)*(('Concentrische proefvlakken'!$N21/2)-1.5)</f>
        <v>1.3253300000000001</v>
      </c>
      <c r="R21" s="171">
        <f t="shared" si="1"/>
        <v>0</v>
      </c>
      <c r="S21" s="13" t="s">
        <v>50</v>
      </c>
      <c r="T21" s="53"/>
      <c r="U21" s="53"/>
      <c r="V21" s="170">
        <f>VLOOKUP($G$5,Parameters!$B$127:$U$142,13,FALSE)*Parameters!$V$126</f>
        <v>5.0220000000000002</v>
      </c>
      <c r="W21" s="16">
        <f>Parameters!$C58-('Concentrische proefvlakken'!$V21/100)*(('Concentrische proefvlakken'!$T21/2)-1.5)</f>
        <v>1.3253300000000001</v>
      </c>
      <c r="X21" s="178">
        <f t="shared" si="2"/>
        <v>0</v>
      </c>
    </row>
    <row r="22" spans="1:24" x14ac:dyDescent="0.25">
      <c r="A22" s="13" t="s">
        <v>51</v>
      </c>
      <c r="B22" s="53"/>
      <c r="C22" s="53"/>
      <c r="D22" s="170">
        <f>VLOOKUP($G$5,Parameters!$B$127:$U$142,14,FALSE)*Parameters!$V$126</f>
        <v>5.859</v>
      </c>
      <c r="E22" s="80">
        <f>Parameters!$C59-('Concentrische proefvlakken'!$D22/100)*(('Concentrische proefvlakken'!$B22/2)-1.5)</f>
        <v>1.4378850000000001</v>
      </c>
      <c r="F22" s="178">
        <f t="shared" si="0"/>
        <v>0</v>
      </c>
      <c r="G22" s="174" t="s">
        <v>51</v>
      </c>
      <c r="H22" s="53"/>
      <c r="I22" s="53"/>
      <c r="J22" s="170">
        <f>VLOOKUP($G$5,Parameters!$B$127:$U$142,14,FALSE)*Parameters!$V$126</f>
        <v>5.859</v>
      </c>
      <c r="K22" s="16">
        <f>Parameters!$C59-('Concentrische proefvlakken'!$J22/100)*(('Concentrische proefvlakken'!$H22/2)-1.5)</f>
        <v>1.4378850000000001</v>
      </c>
      <c r="L22" s="171">
        <f t="shared" si="3"/>
        <v>0</v>
      </c>
      <c r="M22" s="13" t="s">
        <v>51</v>
      </c>
      <c r="N22" s="53"/>
      <c r="O22" s="53"/>
      <c r="P22" s="170">
        <f>VLOOKUP($G$5,Parameters!$B$127:$U$142,14,FALSE)*Parameters!$V$126</f>
        <v>5.859</v>
      </c>
      <c r="Q22" s="80">
        <f>Parameters!$C59-('Concentrische proefvlakken'!$P22/100)*(('Concentrische proefvlakken'!$N22/2)-1.5)</f>
        <v>1.4378850000000001</v>
      </c>
      <c r="R22" s="171">
        <f t="shared" si="1"/>
        <v>0</v>
      </c>
      <c r="S22" s="13" t="s">
        <v>51</v>
      </c>
      <c r="T22" s="53"/>
      <c r="U22" s="53"/>
      <c r="V22" s="170">
        <f>VLOOKUP($G$5,Parameters!$B$127:$U$142,14,FALSE)*Parameters!$V$126</f>
        <v>5.859</v>
      </c>
      <c r="W22" s="16">
        <f>Parameters!$C59-('Concentrische proefvlakken'!$V22/100)*(('Concentrische proefvlakken'!$T22/2)-1.5)</f>
        <v>1.4378850000000001</v>
      </c>
      <c r="X22" s="178">
        <f t="shared" si="2"/>
        <v>0</v>
      </c>
    </row>
    <row r="23" spans="1:24" x14ac:dyDescent="0.25">
      <c r="A23" s="13" t="s">
        <v>52</v>
      </c>
      <c r="B23" s="53"/>
      <c r="C23" s="53"/>
      <c r="D23" s="170">
        <f>VLOOKUP($G$5,Parameters!$B$127:$U$142,15,FALSE)*Parameters!$V$126</f>
        <v>5.859</v>
      </c>
      <c r="E23" s="80">
        <f>Parameters!$C60-('Concentrische proefvlakken'!$D23/100)*(('Concentrische proefvlakken'!$B23/2)-1.5)</f>
        <v>1.5378849999999999</v>
      </c>
      <c r="F23" s="178">
        <f t="shared" si="0"/>
        <v>0</v>
      </c>
      <c r="G23" s="174" t="s">
        <v>52</v>
      </c>
      <c r="H23" s="53"/>
      <c r="I23" s="53"/>
      <c r="J23" s="170">
        <f>VLOOKUP($G$5,Parameters!$B$127:$U$142,15,FALSE)*Parameters!$V$126</f>
        <v>5.859</v>
      </c>
      <c r="K23" s="16">
        <f>Parameters!$C60-('Concentrische proefvlakken'!$J23/100)*(('Concentrische proefvlakken'!$H23/2)-1.5)</f>
        <v>1.5378849999999999</v>
      </c>
      <c r="L23" s="171">
        <f t="shared" si="3"/>
        <v>0</v>
      </c>
      <c r="M23" s="13" t="s">
        <v>52</v>
      </c>
      <c r="N23" s="53"/>
      <c r="O23" s="53"/>
      <c r="P23" s="170">
        <f>VLOOKUP($G$5,Parameters!$B$127:$U$142,15,FALSE)*Parameters!$V$126</f>
        <v>5.859</v>
      </c>
      <c r="Q23" s="80">
        <f>Parameters!$C60-('Concentrische proefvlakken'!$P23/100)*(('Concentrische proefvlakken'!$N23/2)-1.5)</f>
        <v>1.5378849999999999</v>
      </c>
      <c r="R23" s="171">
        <f t="shared" si="1"/>
        <v>0</v>
      </c>
      <c r="S23" s="13" t="s">
        <v>52</v>
      </c>
      <c r="T23" s="53"/>
      <c r="U23" s="53"/>
      <c r="V23" s="170">
        <f>VLOOKUP($G$5,Parameters!$B$127:$U$142,15,FALSE)*Parameters!$V$126</f>
        <v>5.859</v>
      </c>
      <c r="W23" s="16">
        <f>Parameters!$C60-('Concentrische proefvlakken'!$V23/100)*(('Concentrische proefvlakken'!$T23/2)-1.5)</f>
        <v>1.5378849999999999</v>
      </c>
      <c r="X23" s="178">
        <f t="shared" si="2"/>
        <v>0</v>
      </c>
    </row>
    <row r="24" spans="1:24" x14ac:dyDescent="0.25">
      <c r="A24" s="13" t="s">
        <v>53</v>
      </c>
      <c r="B24" s="53"/>
      <c r="C24" s="53"/>
      <c r="D24" s="170">
        <f>VLOOKUP($G$5,Parameters!$B$127:$U$142,16,FALSE)*Parameters!$V$126</f>
        <v>6.6959999999999997</v>
      </c>
      <c r="E24" s="80">
        <f>Parameters!$C61-('Concentrische proefvlakken'!$D24/100)*(('Concentrische proefvlakken'!$B24/2)-1.5)</f>
        <v>1.6504400000000001</v>
      </c>
      <c r="F24" s="178">
        <f t="shared" si="0"/>
        <v>0</v>
      </c>
      <c r="G24" s="174" t="s">
        <v>53</v>
      </c>
      <c r="H24" s="53"/>
      <c r="I24" s="53"/>
      <c r="J24" s="170">
        <f>VLOOKUP($G$5,Parameters!$B$127:$U$142,16,FALSE)*Parameters!$V$126</f>
        <v>6.6959999999999997</v>
      </c>
      <c r="K24" s="16">
        <f>Parameters!$C61-('Concentrische proefvlakken'!$J24/100)*(('Concentrische proefvlakken'!$H24/2)-1.5)</f>
        <v>1.6504400000000001</v>
      </c>
      <c r="L24" s="171">
        <f t="shared" si="3"/>
        <v>0</v>
      </c>
      <c r="M24" s="13" t="s">
        <v>53</v>
      </c>
      <c r="N24" s="53"/>
      <c r="O24" s="53"/>
      <c r="P24" s="170">
        <f>VLOOKUP($G$5,Parameters!$B$127:$U$142,16,FALSE)*Parameters!$V$126</f>
        <v>6.6959999999999997</v>
      </c>
      <c r="Q24" s="80">
        <f>Parameters!$C61-('Concentrische proefvlakken'!$P24/100)*(('Concentrische proefvlakken'!$N24/2)-1.5)</f>
        <v>1.6504400000000001</v>
      </c>
      <c r="R24" s="171">
        <f t="shared" si="1"/>
        <v>0</v>
      </c>
      <c r="S24" s="13" t="s">
        <v>53</v>
      </c>
      <c r="T24" s="53"/>
      <c r="U24" s="53"/>
      <c r="V24" s="170">
        <f>VLOOKUP($G$5,Parameters!$B$127:$U$142,16,FALSE)*Parameters!$V$126</f>
        <v>6.6959999999999997</v>
      </c>
      <c r="W24" s="16">
        <f>Parameters!$C61-('Concentrische proefvlakken'!$V24/100)*(('Concentrische proefvlakken'!$T24/2)-1.5)</f>
        <v>1.6504400000000001</v>
      </c>
      <c r="X24" s="178">
        <f t="shared" si="2"/>
        <v>0</v>
      </c>
    </row>
    <row r="25" spans="1:24" x14ac:dyDescent="0.25">
      <c r="A25" s="13" t="s">
        <v>54</v>
      </c>
      <c r="B25" s="53"/>
      <c r="C25" s="53"/>
      <c r="D25" s="170">
        <f>VLOOKUP($G$5,Parameters!$B$127:$U$142,17,FALSE)*Parameters!$V$126</f>
        <v>6.6959999999999997</v>
      </c>
      <c r="E25" s="80">
        <f>Parameters!$C62-('Concentrische proefvlakken'!$D25/100)*(('Concentrische proefvlakken'!$B25/2)-1.5)</f>
        <v>1.75044</v>
      </c>
      <c r="F25" s="178">
        <f t="shared" si="0"/>
        <v>0</v>
      </c>
      <c r="G25" s="174" t="s">
        <v>54</v>
      </c>
      <c r="H25" s="53"/>
      <c r="I25" s="53"/>
      <c r="J25" s="170">
        <f>VLOOKUP($G$5,Parameters!$B$127:$U$142,17,FALSE)*Parameters!$V$126</f>
        <v>6.6959999999999997</v>
      </c>
      <c r="K25" s="16">
        <f>Parameters!$C62-('Concentrische proefvlakken'!$J25/100)*(('Concentrische proefvlakken'!$H25/2)-1.5)</f>
        <v>1.75044</v>
      </c>
      <c r="L25" s="171">
        <f t="shared" si="3"/>
        <v>0</v>
      </c>
      <c r="M25" s="13" t="s">
        <v>54</v>
      </c>
      <c r="N25" s="53"/>
      <c r="O25" s="53"/>
      <c r="P25" s="170">
        <f>VLOOKUP($G$5,Parameters!$B$127:$U$142,17,FALSE)*Parameters!$V$126</f>
        <v>6.6959999999999997</v>
      </c>
      <c r="Q25" s="80">
        <f>Parameters!$C62-('Concentrische proefvlakken'!$P25/100)*(('Concentrische proefvlakken'!$N25/2)-1.5)</f>
        <v>1.75044</v>
      </c>
      <c r="R25" s="171">
        <f t="shared" si="1"/>
        <v>0</v>
      </c>
      <c r="S25" s="13" t="s">
        <v>54</v>
      </c>
      <c r="T25" s="53"/>
      <c r="U25" s="53"/>
      <c r="V25" s="170">
        <f>VLOOKUP($G$5,Parameters!$B$127:$U$142,17,FALSE)*Parameters!$V$126</f>
        <v>6.6959999999999997</v>
      </c>
      <c r="W25" s="16">
        <f>Parameters!$C62-('Concentrische proefvlakken'!$V25/100)*(('Concentrische proefvlakken'!$T25/2)-1.5)</f>
        <v>1.75044</v>
      </c>
      <c r="X25" s="178">
        <f t="shared" si="2"/>
        <v>0</v>
      </c>
    </row>
    <row r="26" spans="1:24" x14ac:dyDescent="0.25">
      <c r="A26" s="13" t="s">
        <v>55</v>
      </c>
      <c r="B26" s="53"/>
      <c r="C26" s="53"/>
      <c r="D26" s="170">
        <f>VLOOKUP($G$5,Parameters!$B$127:$U$142,18,FALSE)*Parameters!$V$126</f>
        <v>6.6959999999999997</v>
      </c>
      <c r="E26" s="80">
        <f>Parameters!$C63-('Concentrische proefvlakken'!$D26/100)*(('Concentrische proefvlakken'!$B26/2)-1.5)</f>
        <v>1.8504400000000001</v>
      </c>
      <c r="F26" s="178">
        <f t="shared" si="0"/>
        <v>0</v>
      </c>
      <c r="G26" s="174" t="s">
        <v>55</v>
      </c>
      <c r="H26" s="53"/>
      <c r="I26" s="53"/>
      <c r="J26" s="170">
        <f>VLOOKUP($G$5,Parameters!$B$127:$U$142,18,FALSE)*Parameters!$V$126</f>
        <v>6.6959999999999997</v>
      </c>
      <c r="K26" s="16">
        <f>Parameters!$C63-('Concentrische proefvlakken'!$J26/100)*(('Concentrische proefvlakken'!$H26/2)-1.5)</f>
        <v>1.8504400000000001</v>
      </c>
      <c r="L26" s="171">
        <f t="shared" si="3"/>
        <v>0</v>
      </c>
      <c r="M26" s="13" t="s">
        <v>55</v>
      </c>
      <c r="N26" s="53"/>
      <c r="O26" s="53"/>
      <c r="P26" s="170">
        <f>VLOOKUP($G$5,Parameters!$B$127:$U$142,18,FALSE)*Parameters!$V$126</f>
        <v>6.6959999999999997</v>
      </c>
      <c r="Q26" s="80">
        <f>Parameters!$C63-('Concentrische proefvlakken'!$P26/100)*(('Concentrische proefvlakken'!$N26/2)-1.5)</f>
        <v>1.8504400000000001</v>
      </c>
      <c r="R26" s="171">
        <f t="shared" si="1"/>
        <v>0</v>
      </c>
      <c r="S26" s="13" t="s">
        <v>55</v>
      </c>
      <c r="T26" s="53"/>
      <c r="U26" s="53"/>
      <c r="V26" s="170">
        <f>VLOOKUP($G$5,Parameters!$B$127:$U$142,18,FALSE)*Parameters!$V$126</f>
        <v>6.6959999999999997</v>
      </c>
      <c r="W26" s="16">
        <f>Parameters!$C63-('Concentrische proefvlakken'!$V26/100)*(('Concentrische proefvlakken'!$T26/2)-1.5)</f>
        <v>1.8504400000000001</v>
      </c>
      <c r="X26" s="178">
        <f t="shared" si="2"/>
        <v>0</v>
      </c>
    </row>
    <row r="27" spans="1:24" x14ac:dyDescent="0.25">
      <c r="A27" s="13" t="s">
        <v>56</v>
      </c>
      <c r="B27" s="53"/>
      <c r="C27" s="53"/>
      <c r="D27" s="170">
        <f>VLOOKUP($G$5,Parameters!$B$127:$U$142,19,FALSE)*Parameters!$V$126</f>
        <v>8.3699999999999992</v>
      </c>
      <c r="E27" s="80">
        <f>Parameters!$C64-('Concentrische proefvlakken'!$D27/100)*(('Concentrische proefvlakken'!$B27/2)-1.5)</f>
        <v>1.9755500000000001</v>
      </c>
      <c r="F27" s="178">
        <f t="shared" si="0"/>
        <v>0</v>
      </c>
      <c r="G27" s="174" t="s">
        <v>56</v>
      </c>
      <c r="H27" s="53"/>
      <c r="I27" s="53"/>
      <c r="J27" s="170">
        <f>VLOOKUP($G$5,Parameters!$B$127:$U$142,19,FALSE)*Parameters!$V$126</f>
        <v>8.3699999999999992</v>
      </c>
      <c r="K27" s="16">
        <f>Parameters!$C64-('Concentrische proefvlakken'!$J27/100)*(('Concentrische proefvlakken'!$H27/2)-1.5)</f>
        <v>1.9755500000000001</v>
      </c>
      <c r="L27" s="171">
        <f t="shared" si="3"/>
        <v>0</v>
      </c>
      <c r="M27" s="13" t="s">
        <v>56</v>
      </c>
      <c r="N27" s="53"/>
      <c r="O27" s="53"/>
      <c r="P27" s="170">
        <f>VLOOKUP($G$5,Parameters!$B$127:$U$142,19,FALSE)*Parameters!$V$126</f>
        <v>8.3699999999999992</v>
      </c>
      <c r="Q27" s="80">
        <f>Parameters!$C64-('Concentrische proefvlakken'!$P27/100)*(('Concentrische proefvlakken'!$N27/2)-1.5)</f>
        <v>1.9755500000000001</v>
      </c>
      <c r="R27" s="171">
        <f t="shared" si="1"/>
        <v>0</v>
      </c>
      <c r="S27" s="13" t="s">
        <v>56</v>
      </c>
      <c r="T27" s="53"/>
      <c r="U27" s="53"/>
      <c r="V27" s="170">
        <f>VLOOKUP($G$5,Parameters!$B$127:$U$142,19,FALSE)*Parameters!$V$126</f>
        <v>8.3699999999999992</v>
      </c>
      <c r="W27" s="16">
        <f>Parameters!$C64-('Concentrische proefvlakken'!$V27/100)*(('Concentrische proefvlakken'!$T27/2)-1.5)</f>
        <v>1.9755500000000001</v>
      </c>
      <c r="X27" s="178">
        <f t="shared" si="2"/>
        <v>0</v>
      </c>
    </row>
    <row r="28" spans="1:24" x14ac:dyDescent="0.25">
      <c r="A28" s="13" t="s">
        <v>57</v>
      </c>
      <c r="B28" s="75"/>
      <c r="C28" s="53"/>
      <c r="D28" s="175">
        <f>VLOOKUP($G$5,Parameters!$B$127:$U$142,20,FALSE)*Parameters!$V$126</f>
        <v>8.3699999999999992</v>
      </c>
      <c r="E28" s="80">
        <f>Parameters!$C65-('Concentrische proefvlakken'!$D28/100)*(('Concentrische proefvlakken'!$B28/2)-1.5)</f>
        <v>2.0755499999999998</v>
      </c>
      <c r="F28" s="179">
        <f t="shared" si="0"/>
        <v>0</v>
      </c>
      <c r="G28" s="174" t="s">
        <v>57</v>
      </c>
      <c r="H28" s="75"/>
      <c r="I28" s="75"/>
      <c r="J28" s="175">
        <f>VLOOKUP($G$5,Parameters!$B$127:$U$142,20,FALSE)*Parameters!$V$126</f>
        <v>8.3699999999999992</v>
      </c>
      <c r="K28" s="16">
        <f>Parameters!$C65-('Concentrische proefvlakken'!$J28/100)*(('Concentrische proefvlakken'!$H28/2)-1.5)</f>
        <v>2.0755499999999998</v>
      </c>
      <c r="L28" s="171">
        <f t="shared" si="3"/>
        <v>0</v>
      </c>
      <c r="M28" s="13" t="s">
        <v>57</v>
      </c>
      <c r="N28" s="75"/>
      <c r="O28" s="75"/>
      <c r="P28" s="175">
        <f>VLOOKUP($G$5,Parameters!$B$127:$U$142,20,FALSE)*Parameters!$V$126</f>
        <v>8.3699999999999992</v>
      </c>
      <c r="Q28" s="180">
        <f>Parameters!$C65-('Concentrische proefvlakken'!$P28/100)*(('Concentrische proefvlakken'!$N28/2)-1.5)</f>
        <v>2.0755499999999998</v>
      </c>
      <c r="R28" s="171">
        <f t="shared" si="1"/>
        <v>0</v>
      </c>
      <c r="S28" s="13" t="s">
        <v>57</v>
      </c>
      <c r="T28" s="75"/>
      <c r="U28" s="75"/>
      <c r="V28" s="175">
        <f>VLOOKUP($G$5,Parameters!$B$127:$U$142,20,FALSE)*Parameters!$V$126</f>
        <v>8.3699999999999992</v>
      </c>
      <c r="W28" s="74">
        <f>Parameters!$C65-('Concentrische proefvlakken'!$V28/100)*(('Concentrische proefvlakken'!$T28/2)-1.5)</f>
        <v>2.0755499999999998</v>
      </c>
      <c r="X28" s="178">
        <f t="shared" si="2"/>
        <v>0</v>
      </c>
    </row>
    <row r="29" spans="1:24" x14ac:dyDescent="0.25">
      <c r="A29" s="63"/>
      <c r="B29" s="39"/>
      <c r="C29" s="39"/>
      <c r="D29" s="39"/>
      <c r="E29" s="39"/>
      <c r="F29" s="176"/>
      <c r="G29" s="39"/>
      <c r="H29" s="39"/>
      <c r="I29" s="39"/>
      <c r="J29" s="39"/>
      <c r="K29" s="39"/>
      <c r="L29" s="64"/>
      <c r="M29" s="39"/>
      <c r="N29" s="39"/>
      <c r="O29" s="39"/>
      <c r="P29" s="39"/>
      <c r="Q29" s="39"/>
      <c r="R29" s="39"/>
      <c r="S29" s="63"/>
      <c r="T29" s="39"/>
      <c r="U29" s="39"/>
      <c r="V29" s="39"/>
      <c r="W29" s="39"/>
      <c r="X29" s="64"/>
    </row>
    <row r="30" spans="1:24" x14ac:dyDescent="0.25">
      <c r="A30" s="31" t="s">
        <v>14</v>
      </c>
      <c r="B30" s="32"/>
      <c r="C30" s="32"/>
      <c r="D30" s="32"/>
      <c r="E30" s="78">
        <f>SUM(C10:C28)</f>
        <v>0</v>
      </c>
      <c r="F30" s="33" t="s">
        <v>16</v>
      </c>
      <c r="G30" s="31" t="s">
        <v>14</v>
      </c>
      <c r="H30" s="32"/>
      <c r="I30" s="32"/>
      <c r="J30" s="32"/>
      <c r="K30" s="78">
        <f>SUM(I10:I28)</f>
        <v>0</v>
      </c>
      <c r="L30" s="33" t="s">
        <v>16</v>
      </c>
      <c r="M30" s="31" t="s">
        <v>14</v>
      </c>
      <c r="N30" s="32"/>
      <c r="O30" s="32"/>
      <c r="P30" s="32"/>
      <c r="Q30" s="78">
        <f>SUM(O10:O28)</f>
        <v>0</v>
      </c>
      <c r="R30" s="33" t="s">
        <v>16</v>
      </c>
      <c r="S30" s="31" t="s">
        <v>14</v>
      </c>
      <c r="T30" s="32"/>
      <c r="U30" s="32"/>
      <c r="V30" s="32"/>
      <c r="W30" s="78">
        <f>SUM(U10:U28)</f>
        <v>0</v>
      </c>
      <c r="X30" s="33" t="s">
        <v>16</v>
      </c>
    </row>
    <row r="31" spans="1:24" x14ac:dyDescent="0.25">
      <c r="A31" s="59" t="s">
        <v>89</v>
      </c>
      <c r="B31" s="2"/>
      <c r="C31" s="2"/>
      <c r="D31" s="2"/>
      <c r="E31" s="77" t="e">
        <f>Parameters!E119</f>
        <v>#DIV/0!</v>
      </c>
      <c r="F31" s="2" t="s">
        <v>8</v>
      </c>
      <c r="G31" s="59" t="s">
        <v>89</v>
      </c>
      <c r="H31" s="2"/>
      <c r="I31" s="2"/>
      <c r="J31" s="2"/>
      <c r="K31" s="77" t="e">
        <f>Parameters!F119</f>
        <v>#DIV/0!</v>
      </c>
      <c r="L31" s="1" t="s">
        <v>8</v>
      </c>
      <c r="M31" s="59" t="s">
        <v>89</v>
      </c>
      <c r="N31" s="2"/>
      <c r="O31" s="2"/>
      <c r="P31" s="2"/>
      <c r="Q31" s="77" t="e">
        <f>Parameters!G119</f>
        <v>#DIV/0!</v>
      </c>
      <c r="R31" s="1" t="s">
        <v>8</v>
      </c>
      <c r="S31" s="59" t="s">
        <v>89</v>
      </c>
      <c r="T31" s="2"/>
      <c r="U31" s="2"/>
      <c r="V31" s="2"/>
      <c r="W31" s="77" t="e">
        <f>Parameters!H119</f>
        <v>#DIV/0!</v>
      </c>
      <c r="X31" s="1" t="s">
        <v>8</v>
      </c>
    </row>
    <row r="32" spans="1:24" x14ac:dyDescent="0.25">
      <c r="A32" s="59" t="s">
        <v>88</v>
      </c>
      <c r="B32" s="2"/>
      <c r="C32" s="2"/>
      <c r="D32" s="2"/>
      <c r="E32" s="77" t="e">
        <f>(SUM(Parameters!E47:E65)/E30)*100</f>
        <v>#DIV/0!</v>
      </c>
      <c r="F32" s="2" t="s">
        <v>61</v>
      </c>
      <c r="G32" s="59" t="s">
        <v>88</v>
      </c>
      <c r="H32" s="2"/>
      <c r="I32" s="2"/>
      <c r="J32" s="2"/>
      <c r="K32" s="77" t="e">
        <f>(SUM(Parameters!F47:F65)/K30)*100</f>
        <v>#DIV/0!</v>
      </c>
      <c r="L32" s="1" t="s">
        <v>61</v>
      </c>
      <c r="M32" s="59" t="s">
        <v>88</v>
      </c>
      <c r="N32" s="2"/>
      <c r="O32" s="2"/>
      <c r="P32" s="2"/>
      <c r="Q32" s="77" t="e">
        <f>(SUM(Parameters!G47:G65)/Q30)*100</f>
        <v>#DIV/0!</v>
      </c>
      <c r="R32" s="1" t="s">
        <v>61</v>
      </c>
      <c r="S32" s="59" t="s">
        <v>88</v>
      </c>
      <c r="T32" s="2"/>
      <c r="U32" s="2"/>
      <c r="V32" s="2"/>
      <c r="W32" s="77" t="e">
        <f>(SUM(Parameters!H47:H65)/W30)*100</f>
        <v>#DIV/0!</v>
      </c>
      <c r="X32" s="1" t="s">
        <v>61</v>
      </c>
    </row>
    <row r="33" spans="1:24" x14ac:dyDescent="0.25">
      <c r="A33" s="61" t="s">
        <v>90</v>
      </c>
      <c r="B33" s="72"/>
      <c r="C33" s="72"/>
      <c r="D33" s="2"/>
      <c r="E33" s="76">
        <f>SUM(F10:F28)</f>
        <v>0</v>
      </c>
      <c r="F33" s="34" t="s">
        <v>9</v>
      </c>
      <c r="G33" s="61" t="s">
        <v>90</v>
      </c>
      <c r="H33" s="72"/>
      <c r="I33" s="72"/>
      <c r="J33" s="2"/>
      <c r="K33" s="76">
        <f>SUM(L10:L28)</f>
        <v>0</v>
      </c>
      <c r="L33" s="34" t="s">
        <v>9</v>
      </c>
      <c r="M33" s="61" t="s">
        <v>90</v>
      </c>
      <c r="N33" s="72"/>
      <c r="O33" s="72"/>
      <c r="P33" s="2"/>
      <c r="Q33" s="76">
        <f>SUM(R10:R28)</f>
        <v>0</v>
      </c>
      <c r="R33" s="34" t="s">
        <v>9</v>
      </c>
      <c r="S33" s="61" t="s">
        <v>90</v>
      </c>
      <c r="T33" s="72"/>
      <c r="U33" s="72"/>
      <c r="V33" s="2"/>
      <c r="W33" s="76">
        <f>SUM(X10:X28)</f>
        <v>0</v>
      </c>
      <c r="X33" s="34" t="s">
        <v>9</v>
      </c>
    </row>
    <row r="34" spans="1:24" ht="15.75" thickBot="1" x14ac:dyDescent="0.3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</row>
    <row r="35" spans="1:24" ht="15.75" thickBot="1" x14ac:dyDescent="0.3">
      <c r="A35" s="59"/>
      <c r="B35" s="215"/>
      <c r="C35" s="215"/>
      <c r="D35" s="215"/>
      <c r="E35" s="215"/>
      <c r="F35" s="215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7"/>
    </row>
    <row r="36" spans="1:24" ht="15.75" thickBot="1" x14ac:dyDescent="0.3">
      <c r="A36" s="282" t="s">
        <v>33</v>
      </c>
      <c r="B36" s="283"/>
      <c r="C36" s="277"/>
      <c r="D36" s="277"/>
      <c r="E36" s="277"/>
      <c r="F36" s="278"/>
      <c r="G36" s="282" t="s">
        <v>34</v>
      </c>
      <c r="H36" s="283"/>
      <c r="I36" s="277"/>
      <c r="J36" s="277"/>
      <c r="K36" s="277"/>
      <c r="L36" s="278"/>
      <c r="M36" s="282" t="s">
        <v>35</v>
      </c>
      <c r="N36" s="283"/>
      <c r="O36" s="277"/>
      <c r="P36" s="277"/>
      <c r="Q36" s="277"/>
      <c r="R36" s="278"/>
      <c r="S36" s="282" t="s">
        <v>36</v>
      </c>
      <c r="T36" s="283"/>
      <c r="U36" s="277"/>
      <c r="V36" s="277"/>
      <c r="W36" s="277"/>
      <c r="X36" s="278"/>
    </row>
    <row r="37" spans="1:24" ht="99.75" customHeight="1" thickBot="1" x14ac:dyDescent="0.3">
      <c r="A37" s="27" t="s">
        <v>39</v>
      </c>
      <c r="B37" s="28" t="s">
        <v>17</v>
      </c>
      <c r="C37" s="26" t="s">
        <v>13</v>
      </c>
      <c r="D37" s="208" t="s">
        <v>117</v>
      </c>
      <c r="E37" s="172" t="s">
        <v>121</v>
      </c>
      <c r="F37" s="29" t="s">
        <v>84</v>
      </c>
      <c r="G37" s="27" t="s">
        <v>39</v>
      </c>
      <c r="H37" s="28" t="s">
        <v>17</v>
      </c>
      <c r="I37" s="28" t="s">
        <v>13</v>
      </c>
      <c r="J37" s="30" t="s">
        <v>117</v>
      </c>
      <c r="K37" s="172" t="s">
        <v>121</v>
      </c>
      <c r="L37" s="29" t="s">
        <v>84</v>
      </c>
      <c r="M37" s="27" t="s">
        <v>39</v>
      </c>
      <c r="N37" s="28" t="s">
        <v>17</v>
      </c>
      <c r="O37" s="28" t="s">
        <v>13</v>
      </c>
      <c r="P37" s="208" t="s">
        <v>117</v>
      </c>
      <c r="Q37" s="172" t="s">
        <v>121</v>
      </c>
      <c r="R37" s="29" t="s">
        <v>84</v>
      </c>
      <c r="S37" s="27" t="s">
        <v>39</v>
      </c>
      <c r="T37" s="28" t="s">
        <v>17</v>
      </c>
      <c r="U37" s="28" t="s">
        <v>13</v>
      </c>
      <c r="V37" s="30" t="s">
        <v>117</v>
      </c>
      <c r="W37" s="172" t="s">
        <v>121</v>
      </c>
      <c r="X37" s="29" t="s">
        <v>84</v>
      </c>
    </row>
    <row r="38" spans="1:24" x14ac:dyDescent="0.25">
      <c r="A38" s="262" t="s">
        <v>124</v>
      </c>
      <c r="B38" s="255"/>
      <c r="C38" s="255"/>
      <c r="D38" s="169">
        <f>VLOOKUP($G$5,Parameters!$B$127:$U$142,2,FALSE)*Parameters!$V$126</f>
        <v>1.6739999999999999</v>
      </c>
      <c r="E38" s="79">
        <f>Parameters!$C47-('Concentrische proefvlakken'!$D38/100)*(('Concentrische proefvlakken'!$B38/2)-1.5)</f>
        <v>0.17510999999999999</v>
      </c>
      <c r="F38" s="177">
        <f t="shared" ref="F38:F56" si="4">(0.0785*E38*E38*B38)*C38</f>
        <v>0</v>
      </c>
      <c r="G38" s="262" t="s">
        <v>124</v>
      </c>
      <c r="H38" s="257"/>
      <c r="I38" s="257"/>
      <c r="J38" s="169">
        <f>VLOOKUP($G$5,Parameters!$B$127:$U$142,2,FALSE)*Parameters!$V$126</f>
        <v>1.6739999999999999</v>
      </c>
      <c r="K38" s="15">
        <f>Parameters!$C47-('Concentrische proefvlakken'!$J38/100)*(('Concentrische proefvlakken'!$H38/2)-1.5)</f>
        <v>0.17510999999999999</v>
      </c>
      <c r="L38" s="70">
        <f>(0.0785*K38*K38*H38)*I38</f>
        <v>0</v>
      </c>
      <c r="M38" s="262" t="s">
        <v>124</v>
      </c>
      <c r="N38" s="52"/>
      <c r="O38" s="52"/>
      <c r="P38" s="169">
        <f>VLOOKUP($G$5,Parameters!$B$127:$U$142,2,FALSE)*Parameters!$V$126</f>
        <v>1.6739999999999999</v>
      </c>
      <c r="Q38" s="15">
        <f>Parameters!$C47-('Concentrische proefvlakken'!$P38/100)*(('Concentrische proefvlakken'!$N38/2)-1.5)</f>
        <v>0.17510999999999999</v>
      </c>
      <c r="R38" s="70">
        <f t="shared" ref="R38:R56" si="5">(0.0785*Q38*Q38*N38)*O38</f>
        <v>0</v>
      </c>
      <c r="S38" s="262" t="s">
        <v>124</v>
      </c>
      <c r="T38" s="52"/>
      <c r="U38" s="52"/>
      <c r="V38" s="169">
        <f>VLOOKUP($G$5,Parameters!$B$127:$U$142,2,FALSE)*Parameters!$V$126</f>
        <v>1.6739999999999999</v>
      </c>
      <c r="W38" s="15">
        <f>Parameters!$C47-('Concentrische proefvlakken'!$V38/100)*(('Concentrische proefvlakken'!$T38/2)-1.5)</f>
        <v>0.17510999999999999</v>
      </c>
      <c r="X38" s="17">
        <f t="shared" ref="X38:X56" si="6">(0.0785*W38*W38*T38)*U38</f>
        <v>0</v>
      </c>
    </row>
    <row r="39" spans="1:24" x14ac:dyDescent="0.25">
      <c r="A39" s="13" t="s">
        <v>40</v>
      </c>
      <c r="B39" s="256"/>
      <c r="C39" s="256"/>
      <c r="D39" s="170">
        <f>VLOOKUP($G$5,Parameters!$B$127:$U$142,3,FALSE)*Parameters!$V$126</f>
        <v>1.6739999999999999</v>
      </c>
      <c r="E39" s="80">
        <f>Parameters!$C48-('Concentrische proefvlakken'!$D39/100)*(('Concentrische proefvlakken'!$B39/2)-1.5)</f>
        <v>0.27511000000000002</v>
      </c>
      <c r="F39" s="171">
        <f t="shared" si="4"/>
        <v>0</v>
      </c>
      <c r="G39" s="13" t="s">
        <v>40</v>
      </c>
      <c r="H39" s="258"/>
      <c r="I39" s="258"/>
      <c r="J39" s="170">
        <f>VLOOKUP($G$5,Parameters!$B$127:$U$142,3,FALSE)*Parameters!$V$126</f>
        <v>1.6739999999999999</v>
      </c>
      <c r="K39" s="16">
        <f>Parameters!$C48-('Concentrische proefvlakken'!$J39/100)*(('Concentrische proefvlakken'!$H39/2)-1.5)</f>
        <v>0.27511000000000002</v>
      </c>
      <c r="L39" s="58">
        <f t="shared" ref="L39:L56" si="7">(0.0785*K39*K39*H39)*I39</f>
        <v>0</v>
      </c>
      <c r="M39" s="13" t="s">
        <v>40</v>
      </c>
      <c r="N39" s="53"/>
      <c r="O39" s="53"/>
      <c r="P39" s="170">
        <f>VLOOKUP($G$5,Parameters!$B$127:$U$142,3,FALSE)*Parameters!$V$126</f>
        <v>1.6739999999999999</v>
      </c>
      <c r="Q39" s="16">
        <f>Parameters!$C48-('Concentrische proefvlakken'!$P39/100)*(('Concentrische proefvlakken'!$N39/2)-1.5)</f>
        <v>0.27511000000000002</v>
      </c>
      <c r="R39" s="58">
        <f t="shared" si="5"/>
        <v>0</v>
      </c>
      <c r="S39" s="13" t="s">
        <v>40</v>
      </c>
      <c r="T39" s="53"/>
      <c r="U39" s="53"/>
      <c r="V39" s="170">
        <f>VLOOKUP($G$5,Parameters!$B$127:$U$142,3,FALSE)*Parameters!$V$126</f>
        <v>1.6739999999999999</v>
      </c>
      <c r="W39" s="16">
        <f>Parameters!$C48-('Concentrische proefvlakken'!$V39/100)*(('Concentrische proefvlakken'!$T39/2)-1.5)</f>
        <v>0.27511000000000002</v>
      </c>
      <c r="X39" s="18">
        <f t="shared" si="6"/>
        <v>0</v>
      </c>
    </row>
    <row r="40" spans="1:24" x14ac:dyDescent="0.25">
      <c r="A40" s="13" t="s">
        <v>41</v>
      </c>
      <c r="B40" s="256"/>
      <c r="C40" s="256"/>
      <c r="D40" s="170">
        <f>VLOOKUP($G$5,Parameters!$B$127:$U$142,4,FALSE)*Parameters!$V$126</f>
        <v>1.6739999999999999</v>
      </c>
      <c r="E40" s="80">
        <f>Parameters!$C49-('Concentrische proefvlakken'!$D40/100)*(('Concentrische proefvlakken'!$B40/2)-1.5)</f>
        <v>0.37511</v>
      </c>
      <c r="F40" s="171">
        <f t="shared" si="4"/>
        <v>0</v>
      </c>
      <c r="G40" s="13" t="s">
        <v>41</v>
      </c>
      <c r="H40" s="258"/>
      <c r="I40" s="258"/>
      <c r="J40" s="170">
        <f>VLOOKUP($G$5,Parameters!$B$127:$U$142,4,FALSE)*Parameters!$V$126</f>
        <v>1.6739999999999999</v>
      </c>
      <c r="K40" s="16">
        <f>Parameters!$C49-('Concentrische proefvlakken'!$J40/100)*(('Concentrische proefvlakken'!$H40/2)-1.5)</f>
        <v>0.37511</v>
      </c>
      <c r="L40" s="58">
        <f t="shared" si="7"/>
        <v>0</v>
      </c>
      <c r="M40" s="13" t="s">
        <v>41</v>
      </c>
      <c r="N40" s="53"/>
      <c r="O40" s="53"/>
      <c r="P40" s="170">
        <f>VLOOKUP($G$5,Parameters!$B$127:$U$142,4,FALSE)*Parameters!$V$126</f>
        <v>1.6739999999999999</v>
      </c>
      <c r="Q40" s="16">
        <f>Parameters!$C49-('Concentrische proefvlakken'!$P40/100)*(('Concentrische proefvlakken'!$N40/2)-1.5)</f>
        <v>0.37511</v>
      </c>
      <c r="R40" s="58">
        <f t="shared" si="5"/>
        <v>0</v>
      </c>
      <c r="S40" s="13" t="s">
        <v>41</v>
      </c>
      <c r="T40" s="53"/>
      <c r="U40" s="53"/>
      <c r="V40" s="170">
        <f>VLOOKUP($G$5,Parameters!$B$127:$U$142,4,FALSE)*Parameters!$V$126</f>
        <v>1.6739999999999999</v>
      </c>
      <c r="W40" s="16">
        <f>Parameters!$C49-('Concentrische proefvlakken'!$V40/100)*(('Concentrische proefvlakken'!$T40/2)-1.5)</f>
        <v>0.37511</v>
      </c>
      <c r="X40" s="18">
        <f t="shared" si="6"/>
        <v>0</v>
      </c>
    </row>
    <row r="41" spans="1:24" x14ac:dyDescent="0.25">
      <c r="A41" s="13" t="s">
        <v>42</v>
      </c>
      <c r="B41" s="256"/>
      <c r="C41" s="256"/>
      <c r="D41" s="170">
        <f>VLOOKUP($G$5,Parameters!$B$127:$U$142,5,FALSE)*Parameters!$V$126</f>
        <v>2.5110000000000001</v>
      </c>
      <c r="E41" s="80">
        <f>Parameters!$C50-('Concentrische proefvlakken'!$D41/100)*(('Concentrische proefvlakken'!$B41/2)-1.5)</f>
        <v>0.48766500000000002</v>
      </c>
      <c r="F41" s="171">
        <f t="shared" si="4"/>
        <v>0</v>
      </c>
      <c r="G41" s="13" t="s">
        <v>42</v>
      </c>
      <c r="H41" s="258"/>
      <c r="I41" s="258"/>
      <c r="J41" s="170">
        <f>VLOOKUP($G$5,Parameters!$B$127:$U$142,5,FALSE)*Parameters!$V$126</f>
        <v>2.5110000000000001</v>
      </c>
      <c r="K41" s="16">
        <f>Parameters!$C50-('Concentrische proefvlakken'!$J41/100)*(('Concentrische proefvlakken'!$H41/2)-1.5)</f>
        <v>0.48766500000000002</v>
      </c>
      <c r="L41" s="58">
        <f t="shared" si="7"/>
        <v>0</v>
      </c>
      <c r="M41" s="13" t="s">
        <v>42</v>
      </c>
      <c r="N41" s="53"/>
      <c r="O41" s="53"/>
      <c r="P41" s="170">
        <f>VLOOKUP($G$5,Parameters!$B$127:$U$142,5,FALSE)*Parameters!$V$126</f>
        <v>2.5110000000000001</v>
      </c>
      <c r="Q41" s="16">
        <f>Parameters!$C50-('Concentrische proefvlakken'!$P41/100)*(('Concentrische proefvlakken'!$N41/2)-1.5)</f>
        <v>0.48766500000000002</v>
      </c>
      <c r="R41" s="58">
        <f t="shared" si="5"/>
        <v>0</v>
      </c>
      <c r="S41" s="13" t="s">
        <v>42</v>
      </c>
      <c r="T41" s="53"/>
      <c r="U41" s="53"/>
      <c r="V41" s="170">
        <f>VLOOKUP($G$5,Parameters!$B$127:$U$142,5,FALSE)*Parameters!$V$126</f>
        <v>2.5110000000000001</v>
      </c>
      <c r="W41" s="16">
        <f>Parameters!$C50-('Concentrische proefvlakken'!$V41/100)*(('Concentrische proefvlakken'!$T41/2)-1.5)</f>
        <v>0.48766500000000002</v>
      </c>
      <c r="X41" s="18">
        <f t="shared" si="6"/>
        <v>0</v>
      </c>
    </row>
    <row r="42" spans="1:24" x14ac:dyDescent="0.25">
      <c r="A42" s="13" t="s">
        <v>43</v>
      </c>
      <c r="B42" s="256"/>
      <c r="C42" s="256"/>
      <c r="D42" s="170">
        <f>VLOOKUP($G$5,Parameters!$B$127:$U$142,6,FALSE)*Parameters!$V$126</f>
        <v>2.5110000000000001</v>
      </c>
      <c r="E42" s="80">
        <f>Parameters!$C51-('Concentrische proefvlakken'!$D42/100)*(('Concentrische proefvlakken'!$B42/2)-1.5)</f>
        <v>0.5876650000000001</v>
      </c>
      <c r="F42" s="171">
        <f t="shared" si="4"/>
        <v>0</v>
      </c>
      <c r="G42" s="13" t="s">
        <v>43</v>
      </c>
      <c r="H42" s="258"/>
      <c r="I42" s="258"/>
      <c r="J42" s="170">
        <f>VLOOKUP($G$5,Parameters!$B$127:$U$142,6,FALSE)*Parameters!$V$126</f>
        <v>2.5110000000000001</v>
      </c>
      <c r="K42" s="16">
        <f>Parameters!$C51-('Concentrische proefvlakken'!$J42/100)*(('Concentrische proefvlakken'!$H42/2)-1.5)</f>
        <v>0.5876650000000001</v>
      </c>
      <c r="L42" s="58">
        <f t="shared" si="7"/>
        <v>0</v>
      </c>
      <c r="M42" s="13" t="s">
        <v>43</v>
      </c>
      <c r="N42" s="53"/>
      <c r="O42" s="53"/>
      <c r="P42" s="170">
        <f>VLOOKUP($G$5,Parameters!$B$127:$U$142,6,FALSE)*Parameters!$V$126</f>
        <v>2.5110000000000001</v>
      </c>
      <c r="Q42" s="16">
        <f>Parameters!$C51-('Concentrische proefvlakken'!$P42/100)*(('Concentrische proefvlakken'!$N42/2)-1.5)</f>
        <v>0.5876650000000001</v>
      </c>
      <c r="R42" s="58">
        <f t="shared" si="5"/>
        <v>0</v>
      </c>
      <c r="S42" s="13" t="s">
        <v>43</v>
      </c>
      <c r="T42" s="53"/>
      <c r="U42" s="53"/>
      <c r="V42" s="170">
        <f>VLOOKUP($G$5,Parameters!$B$127:$U$142,6,FALSE)*Parameters!$V$126</f>
        <v>2.5110000000000001</v>
      </c>
      <c r="W42" s="16">
        <f>Parameters!$C51-('Concentrische proefvlakken'!$V42/100)*(('Concentrische proefvlakken'!$T42/2)-1.5)</f>
        <v>0.5876650000000001</v>
      </c>
      <c r="X42" s="18">
        <f t="shared" si="6"/>
        <v>0</v>
      </c>
    </row>
    <row r="43" spans="1:24" x14ac:dyDescent="0.25">
      <c r="A43" s="13" t="s">
        <v>44</v>
      </c>
      <c r="B43" s="256"/>
      <c r="C43" s="256"/>
      <c r="D43" s="170">
        <f>VLOOKUP($G$5,Parameters!$B$127:$U$142,7,FALSE)*Parameters!$V$126</f>
        <v>3.3479999999999999</v>
      </c>
      <c r="E43" s="80">
        <f>Parameters!$C52-('Concentrische proefvlakken'!$D43/100)*(('Concentrische proefvlakken'!$B43/2)-1.5)</f>
        <v>0.70022000000000006</v>
      </c>
      <c r="F43" s="171">
        <f t="shared" si="4"/>
        <v>0</v>
      </c>
      <c r="G43" s="13" t="s">
        <v>44</v>
      </c>
      <c r="H43" s="258"/>
      <c r="I43" s="258"/>
      <c r="J43" s="170">
        <f>VLOOKUP($G$5,Parameters!$B$127:$U$142,7,FALSE)*Parameters!$V$126</f>
        <v>3.3479999999999999</v>
      </c>
      <c r="K43" s="16">
        <f>Parameters!$C52-('Concentrische proefvlakken'!$J43/100)*(('Concentrische proefvlakken'!$H43/2)-1.5)</f>
        <v>0.70022000000000006</v>
      </c>
      <c r="L43" s="58">
        <f t="shared" si="7"/>
        <v>0</v>
      </c>
      <c r="M43" s="13" t="s">
        <v>44</v>
      </c>
      <c r="N43" s="53"/>
      <c r="O43" s="53"/>
      <c r="P43" s="170">
        <f>VLOOKUP($G$5,Parameters!$B$127:$U$142,7,FALSE)*Parameters!$V$126</f>
        <v>3.3479999999999999</v>
      </c>
      <c r="Q43" s="16">
        <f>Parameters!$C52-('Concentrische proefvlakken'!$P43/100)*(('Concentrische proefvlakken'!$N43/2)-1.5)</f>
        <v>0.70022000000000006</v>
      </c>
      <c r="R43" s="58">
        <f t="shared" si="5"/>
        <v>0</v>
      </c>
      <c r="S43" s="13" t="s">
        <v>44</v>
      </c>
      <c r="T43" s="53"/>
      <c r="U43" s="53"/>
      <c r="V43" s="170">
        <f>VLOOKUP($G$5,Parameters!$B$127:$U$142,7,FALSE)*Parameters!$V$126</f>
        <v>3.3479999999999999</v>
      </c>
      <c r="W43" s="16">
        <f>Parameters!$C52-('Concentrische proefvlakken'!$V43/100)*(('Concentrische proefvlakken'!$T43/2)-1.5)</f>
        <v>0.70022000000000006</v>
      </c>
      <c r="X43" s="18">
        <f t="shared" si="6"/>
        <v>0</v>
      </c>
    </row>
    <row r="44" spans="1:24" x14ac:dyDescent="0.25">
      <c r="A44" s="13" t="s">
        <v>45</v>
      </c>
      <c r="B44" s="256"/>
      <c r="C44" s="256"/>
      <c r="D44" s="170">
        <f>VLOOKUP($G$5,Parameters!$B$127:$U$142,8,FALSE)*Parameters!$V$126</f>
        <v>3.3479999999999999</v>
      </c>
      <c r="E44" s="80">
        <f>Parameters!$C53-('Concentrische proefvlakken'!$D44/100)*(('Concentrische proefvlakken'!$B44/2)-1.5)</f>
        <v>0.80022000000000004</v>
      </c>
      <c r="F44" s="171">
        <f t="shared" si="4"/>
        <v>0</v>
      </c>
      <c r="G44" s="13" t="s">
        <v>45</v>
      </c>
      <c r="H44" s="258"/>
      <c r="I44" s="258"/>
      <c r="J44" s="170">
        <f>VLOOKUP($G$5,Parameters!$B$127:$U$142,8,FALSE)*Parameters!$V$126</f>
        <v>3.3479999999999999</v>
      </c>
      <c r="K44" s="16">
        <f>Parameters!$C53-('Concentrische proefvlakken'!$J44/100)*(('Concentrische proefvlakken'!$H44/2)-1.5)</f>
        <v>0.80022000000000004</v>
      </c>
      <c r="L44" s="58">
        <f t="shared" si="7"/>
        <v>0</v>
      </c>
      <c r="M44" s="13" t="s">
        <v>45</v>
      </c>
      <c r="N44" s="53"/>
      <c r="O44" s="53"/>
      <c r="P44" s="170">
        <f>VLOOKUP($G$5,Parameters!$B$127:$U$142,8,FALSE)*Parameters!$V$126</f>
        <v>3.3479999999999999</v>
      </c>
      <c r="Q44" s="16">
        <f>Parameters!$C53-('Concentrische proefvlakken'!$P44/100)*(('Concentrische proefvlakken'!$N44/2)-1.5)</f>
        <v>0.80022000000000004</v>
      </c>
      <c r="R44" s="58">
        <f t="shared" si="5"/>
        <v>0</v>
      </c>
      <c r="S44" s="13" t="s">
        <v>45</v>
      </c>
      <c r="T44" s="53"/>
      <c r="U44" s="53"/>
      <c r="V44" s="170">
        <f>VLOOKUP($G$5,Parameters!$B$127:$U$142,8,FALSE)*Parameters!$V$126</f>
        <v>3.3479999999999999</v>
      </c>
      <c r="W44" s="16">
        <f>Parameters!$C53-('Concentrische proefvlakken'!$V44/100)*(('Concentrische proefvlakken'!$T44/2)-1.5)</f>
        <v>0.80022000000000004</v>
      </c>
      <c r="X44" s="18">
        <f t="shared" si="6"/>
        <v>0</v>
      </c>
    </row>
    <row r="45" spans="1:24" x14ac:dyDescent="0.25">
      <c r="A45" s="13" t="s">
        <v>46</v>
      </c>
      <c r="B45" s="256"/>
      <c r="C45" s="256"/>
      <c r="D45" s="170">
        <f>VLOOKUP($G$5,Parameters!$B$127:$U$142,9,FALSE)*Parameters!$V$126</f>
        <v>4.1849999999999996</v>
      </c>
      <c r="E45" s="80">
        <f>Parameters!$C54-('Concentrische proefvlakken'!$D45/100)*(('Concentrische proefvlakken'!$B45/2)-1.5)</f>
        <v>0.912775</v>
      </c>
      <c r="F45" s="171">
        <f t="shared" si="4"/>
        <v>0</v>
      </c>
      <c r="G45" s="13" t="s">
        <v>46</v>
      </c>
      <c r="H45" s="258"/>
      <c r="I45" s="258"/>
      <c r="J45" s="170">
        <f>VLOOKUP($G$5,Parameters!$B$127:$U$142,9,FALSE)*Parameters!$V$126</f>
        <v>4.1849999999999996</v>
      </c>
      <c r="K45" s="16">
        <f>Parameters!$C54-('Concentrische proefvlakken'!$J45/100)*(('Concentrische proefvlakken'!$H45/2)-1.5)</f>
        <v>0.912775</v>
      </c>
      <c r="L45" s="58">
        <f t="shared" si="7"/>
        <v>0</v>
      </c>
      <c r="M45" s="13" t="s">
        <v>46</v>
      </c>
      <c r="N45" s="53"/>
      <c r="O45" s="53"/>
      <c r="P45" s="170">
        <f>VLOOKUP($G$5,Parameters!$B$127:$U$142,9,FALSE)*Parameters!$V$126</f>
        <v>4.1849999999999996</v>
      </c>
      <c r="Q45" s="16">
        <f>Parameters!$C54-('Concentrische proefvlakken'!$P45/100)*(('Concentrische proefvlakken'!$N45/2)-1.5)</f>
        <v>0.912775</v>
      </c>
      <c r="R45" s="58">
        <f t="shared" si="5"/>
        <v>0</v>
      </c>
      <c r="S45" s="13" t="s">
        <v>46</v>
      </c>
      <c r="T45" s="53"/>
      <c r="U45" s="53"/>
      <c r="V45" s="170">
        <f>VLOOKUP($G$5,Parameters!$B$127:$U$142,9,FALSE)*Parameters!$V$126</f>
        <v>4.1849999999999996</v>
      </c>
      <c r="W45" s="16">
        <f>Parameters!$C54-('Concentrische proefvlakken'!$V45/100)*(('Concentrische proefvlakken'!$T45/2)-1.5)</f>
        <v>0.912775</v>
      </c>
      <c r="X45" s="18">
        <f t="shared" si="6"/>
        <v>0</v>
      </c>
    </row>
    <row r="46" spans="1:24" x14ac:dyDescent="0.25">
      <c r="A46" s="13" t="s">
        <v>47</v>
      </c>
      <c r="B46" s="256"/>
      <c r="C46" s="256"/>
      <c r="D46" s="170">
        <f>VLOOKUP($G$5,Parameters!$B$127:$U$142,10,FALSE)*Parameters!$V$126</f>
        <v>4.1849999999999996</v>
      </c>
      <c r="E46" s="80">
        <f>Parameters!$C55-('Concentrische proefvlakken'!$D46/100)*(('Concentrische proefvlakken'!$B46/2)-1.5)</f>
        <v>1.012775</v>
      </c>
      <c r="F46" s="171">
        <f t="shared" si="4"/>
        <v>0</v>
      </c>
      <c r="G46" s="13" t="s">
        <v>47</v>
      </c>
      <c r="H46" s="53"/>
      <c r="I46" s="53"/>
      <c r="J46" s="170">
        <f>VLOOKUP($G$5,Parameters!$B$127:$U$142,10,FALSE)*Parameters!$V$126</f>
        <v>4.1849999999999996</v>
      </c>
      <c r="K46" s="16">
        <f>Parameters!$C55-('Concentrische proefvlakken'!$J46/100)*(('Concentrische proefvlakken'!$H46/2)-1.5)</f>
        <v>1.012775</v>
      </c>
      <c r="L46" s="58">
        <f t="shared" si="7"/>
        <v>0</v>
      </c>
      <c r="M46" s="13" t="s">
        <v>47</v>
      </c>
      <c r="N46" s="53"/>
      <c r="O46" s="53"/>
      <c r="P46" s="170">
        <f>VLOOKUP($G$5,Parameters!$B$127:$U$142,10,FALSE)*Parameters!$V$126</f>
        <v>4.1849999999999996</v>
      </c>
      <c r="Q46" s="16">
        <f>Parameters!$C55-('Concentrische proefvlakken'!$P46/100)*(('Concentrische proefvlakken'!$N46/2)-1.5)</f>
        <v>1.012775</v>
      </c>
      <c r="R46" s="58">
        <f t="shared" si="5"/>
        <v>0</v>
      </c>
      <c r="S46" s="13" t="s">
        <v>47</v>
      </c>
      <c r="T46" s="53"/>
      <c r="U46" s="53"/>
      <c r="V46" s="170">
        <f>VLOOKUP($G$5,Parameters!$B$127:$U$142,10,FALSE)*Parameters!$V$126</f>
        <v>4.1849999999999996</v>
      </c>
      <c r="W46" s="16">
        <f>Parameters!$C55-('Concentrische proefvlakken'!$V46/100)*(('Concentrische proefvlakken'!$T46/2)-1.5)</f>
        <v>1.012775</v>
      </c>
      <c r="X46" s="18">
        <f t="shared" si="6"/>
        <v>0</v>
      </c>
    </row>
    <row r="47" spans="1:24" x14ac:dyDescent="0.25">
      <c r="A47" s="13" t="s">
        <v>48</v>
      </c>
      <c r="B47" s="53"/>
      <c r="C47" s="53"/>
      <c r="D47" s="170">
        <f>VLOOKUP($G$5,Parameters!$B$127:$U$142,11,FALSE)*Parameters!$V$126</f>
        <v>5.0220000000000002</v>
      </c>
      <c r="E47" s="80">
        <f>Parameters!$C56-('Concentrische proefvlakken'!$D47/100)*(('Concentrische proefvlakken'!$B47/2)-1.5)</f>
        <v>1.1253299999999999</v>
      </c>
      <c r="F47" s="171">
        <f t="shared" si="4"/>
        <v>0</v>
      </c>
      <c r="G47" s="13" t="s">
        <v>48</v>
      </c>
      <c r="H47" s="53"/>
      <c r="I47" s="53"/>
      <c r="J47" s="170">
        <f>VLOOKUP($G$5,Parameters!$B$127:$U$142,11,FALSE)*Parameters!$V$126</f>
        <v>5.0220000000000002</v>
      </c>
      <c r="K47" s="16">
        <f>Parameters!$C56-('Concentrische proefvlakken'!$J47/100)*(('Concentrische proefvlakken'!$H47/2)-1.5)</f>
        <v>1.1253299999999999</v>
      </c>
      <c r="L47" s="58">
        <f t="shared" si="7"/>
        <v>0</v>
      </c>
      <c r="M47" s="13" t="s">
        <v>48</v>
      </c>
      <c r="N47" s="53"/>
      <c r="O47" s="53"/>
      <c r="P47" s="170">
        <f>VLOOKUP($G$5,Parameters!$B$127:$U$142,11,FALSE)*Parameters!$V$126</f>
        <v>5.0220000000000002</v>
      </c>
      <c r="Q47" s="16">
        <f>Parameters!$C56-('Concentrische proefvlakken'!$P47/100)*(('Concentrische proefvlakken'!$N47/2)-1.5)</f>
        <v>1.1253299999999999</v>
      </c>
      <c r="R47" s="58">
        <f t="shared" si="5"/>
        <v>0</v>
      </c>
      <c r="S47" s="13" t="s">
        <v>48</v>
      </c>
      <c r="T47" s="53"/>
      <c r="U47" s="53"/>
      <c r="V47" s="170">
        <f>VLOOKUP($G$5,Parameters!$B$127:$U$142,11,FALSE)*Parameters!$V$126</f>
        <v>5.0220000000000002</v>
      </c>
      <c r="W47" s="16">
        <f>Parameters!$C56-('Concentrische proefvlakken'!$V47/100)*(('Concentrische proefvlakken'!$T47/2)-1.5)</f>
        <v>1.1253299999999999</v>
      </c>
      <c r="X47" s="18">
        <f t="shared" si="6"/>
        <v>0</v>
      </c>
    </row>
    <row r="48" spans="1:24" x14ac:dyDescent="0.25">
      <c r="A48" s="13" t="s">
        <v>49</v>
      </c>
      <c r="B48" s="53"/>
      <c r="C48" s="53"/>
      <c r="D48" s="170">
        <f>VLOOKUP($G$5,Parameters!$B$127:$U$142,12,FALSE)*Parameters!$V$126</f>
        <v>5.0220000000000002</v>
      </c>
      <c r="E48" s="80">
        <f>Parameters!$C57-('Concentrische proefvlakken'!$D48/100)*(('Concentrische proefvlakken'!$B48/2)-1.5)</f>
        <v>1.22533</v>
      </c>
      <c r="F48" s="171">
        <f t="shared" si="4"/>
        <v>0</v>
      </c>
      <c r="G48" s="13" t="s">
        <v>49</v>
      </c>
      <c r="H48" s="53"/>
      <c r="I48" s="53"/>
      <c r="J48" s="170">
        <f>VLOOKUP($G$5,Parameters!$B$127:$U$142,12,FALSE)*Parameters!$V$126</f>
        <v>5.0220000000000002</v>
      </c>
      <c r="K48" s="16">
        <f>Parameters!$C57-('Concentrische proefvlakken'!$J48/100)*(('Concentrische proefvlakken'!$H48/2)-1.5)</f>
        <v>1.22533</v>
      </c>
      <c r="L48" s="58">
        <f t="shared" si="7"/>
        <v>0</v>
      </c>
      <c r="M48" s="13" t="s">
        <v>49</v>
      </c>
      <c r="N48" s="53"/>
      <c r="O48" s="53"/>
      <c r="P48" s="170">
        <f>VLOOKUP($G$5,Parameters!$B$127:$U$142,12,FALSE)*Parameters!$V$126</f>
        <v>5.0220000000000002</v>
      </c>
      <c r="Q48" s="16">
        <f>Parameters!$C57-('Concentrische proefvlakken'!$P48/100)*(('Concentrische proefvlakken'!$N48/2)-1.5)</f>
        <v>1.22533</v>
      </c>
      <c r="R48" s="58">
        <f t="shared" si="5"/>
        <v>0</v>
      </c>
      <c r="S48" s="13" t="s">
        <v>49</v>
      </c>
      <c r="T48" s="53"/>
      <c r="U48" s="53"/>
      <c r="V48" s="170">
        <f>VLOOKUP($G$5,Parameters!$B$127:$U$142,12,FALSE)*Parameters!$V$126</f>
        <v>5.0220000000000002</v>
      </c>
      <c r="W48" s="16">
        <f>Parameters!$C57-('Concentrische proefvlakken'!$V48/100)*(('Concentrische proefvlakken'!$T48/2)-1.5)</f>
        <v>1.22533</v>
      </c>
      <c r="X48" s="18">
        <f t="shared" si="6"/>
        <v>0</v>
      </c>
    </row>
    <row r="49" spans="1:24" x14ac:dyDescent="0.25">
      <c r="A49" s="13" t="s">
        <v>50</v>
      </c>
      <c r="B49" s="53"/>
      <c r="C49" s="53"/>
      <c r="D49" s="170">
        <f>VLOOKUP($G$5,Parameters!$B$127:$U$142,13,FALSE)*Parameters!$V$126</f>
        <v>5.0220000000000002</v>
      </c>
      <c r="E49" s="80">
        <f>Parameters!$C58-('Concentrische proefvlakken'!$D49/100)*(('Concentrische proefvlakken'!$B49/2)-1.5)</f>
        <v>1.3253300000000001</v>
      </c>
      <c r="F49" s="171">
        <f t="shared" si="4"/>
        <v>0</v>
      </c>
      <c r="G49" s="13" t="s">
        <v>50</v>
      </c>
      <c r="H49" s="53"/>
      <c r="I49" s="53"/>
      <c r="J49" s="170">
        <f>VLOOKUP($G$5,Parameters!$B$127:$U$142,13,FALSE)*Parameters!$V$126</f>
        <v>5.0220000000000002</v>
      </c>
      <c r="K49" s="16">
        <f>Parameters!$C58-('Concentrische proefvlakken'!$J49/100)*(('Concentrische proefvlakken'!$H49/2)-1.5)</f>
        <v>1.3253300000000001</v>
      </c>
      <c r="L49" s="58">
        <f t="shared" si="7"/>
        <v>0</v>
      </c>
      <c r="M49" s="13" t="s">
        <v>50</v>
      </c>
      <c r="N49" s="53"/>
      <c r="O49" s="53"/>
      <c r="P49" s="170">
        <f>VLOOKUP($G$5,Parameters!$B$127:$U$142,13,FALSE)*Parameters!$V$126</f>
        <v>5.0220000000000002</v>
      </c>
      <c r="Q49" s="16">
        <f>Parameters!$C58-('Concentrische proefvlakken'!$P49/100)*(('Concentrische proefvlakken'!$N49/2)-1.5)</f>
        <v>1.3253300000000001</v>
      </c>
      <c r="R49" s="58">
        <f t="shared" si="5"/>
        <v>0</v>
      </c>
      <c r="S49" s="13" t="s">
        <v>50</v>
      </c>
      <c r="T49" s="53"/>
      <c r="U49" s="53"/>
      <c r="V49" s="170">
        <f>VLOOKUP($G$5,Parameters!$B$127:$U$142,13,FALSE)*Parameters!$V$126</f>
        <v>5.0220000000000002</v>
      </c>
      <c r="W49" s="16">
        <f>Parameters!$C58-('Concentrische proefvlakken'!$V49/100)*(('Concentrische proefvlakken'!$T49/2)-1.5)</f>
        <v>1.3253300000000001</v>
      </c>
      <c r="X49" s="18">
        <f t="shared" si="6"/>
        <v>0</v>
      </c>
    </row>
    <row r="50" spans="1:24" x14ac:dyDescent="0.25">
      <c r="A50" s="13" t="s">
        <v>51</v>
      </c>
      <c r="B50" s="53"/>
      <c r="C50" s="53"/>
      <c r="D50" s="170">
        <f>VLOOKUP($G$5,Parameters!$B$127:$U$142,14,FALSE)*Parameters!$V$126</f>
        <v>5.859</v>
      </c>
      <c r="E50" s="80">
        <f>Parameters!$C59-('Concentrische proefvlakken'!$D50/100)*(('Concentrische proefvlakken'!$B50/2)-1.5)</f>
        <v>1.4378850000000001</v>
      </c>
      <c r="F50" s="171">
        <f t="shared" si="4"/>
        <v>0</v>
      </c>
      <c r="G50" s="13" t="s">
        <v>51</v>
      </c>
      <c r="H50" s="53"/>
      <c r="I50" s="53"/>
      <c r="J50" s="170">
        <f>VLOOKUP($G$5,Parameters!$B$127:$U$142,14,FALSE)*Parameters!$V$126</f>
        <v>5.859</v>
      </c>
      <c r="K50" s="16">
        <f>Parameters!$C59-('Concentrische proefvlakken'!$J50/100)*(('Concentrische proefvlakken'!$H50/2)-1.5)</f>
        <v>1.4378850000000001</v>
      </c>
      <c r="L50" s="58">
        <f t="shared" si="7"/>
        <v>0</v>
      </c>
      <c r="M50" s="13" t="s">
        <v>51</v>
      </c>
      <c r="N50" s="53"/>
      <c r="O50" s="53"/>
      <c r="P50" s="170">
        <f>VLOOKUP($G$5,Parameters!$B$127:$U$142,14,FALSE)*Parameters!$V$126</f>
        <v>5.859</v>
      </c>
      <c r="Q50" s="16">
        <f>Parameters!$C59-('Concentrische proefvlakken'!$P50/100)*(('Concentrische proefvlakken'!$N50/2)-1.5)</f>
        <v>1.4378850000000001</v>
      </c>
      <c r="R50" s="58">
        <f t="shared" si="5"/>
        <v>0</v>
      </c>
      <c r="S50" s="13" t="s">
        <v>51</v>
      </c>
      <c r="T50" s="53"/>
      <c r="U50" s="53"/>
      <c r="V50" s="170">
        <f>VLOOKUP($G$5,Parameters!$B$127:$U$142,14,FALSE)*Parameters!$V$126</f>
        <v>5.859</v>
      </c>
      <c r="W50" s="16">
        <f>Parameters!$C59-('Concentrische proefvlakken'!$V50/100)*(('Concentrische proefvlakken'!$T50/2)-1.5)</f>
        <v>1.4378850000000001</v>
      </c>
      <c r="X50" s="18">
        <f t="shared" si="6"/>
        <v>0</v>
      </c>
    </row>
    <row r="51" spans="1:24" x14ac:dyDescent="0.25">
      <c r="A51" s="13" t="s">
        <v>52</v>
      </c>
      <c r="B51" s="53"/>
      <c r="C51" s="53"/>
      <c r="D51" s="170">
        <f>VLOOKUP($G$5,Parameters!$B$127:$U$142,15,FALSE)*Parameters!$V$126</f>
        <v>5.859</v>
      </c>
      <c r="E51" s="80">
        <f>Parameters!$C60-('Concentrische proefvlakken'!$D51/100)*(('Concentrische proefvlakken'!$B51/2)-1.5)</f>
        <v>1.5378849999999999</v>
      </c>
      <c r="F51" s="171">
        <f t="shared" si="4"/>
        <v>0</v>
      </c>
      <c r="G51" s="13" t="s">
        <v>52</v>
      </c>
      <c r="H51" s="53"/>
      <c r="I51" s="53"/>
      <c r="J51" s="170">
        <f>VLOOKUP($G$5,Parameters!$B$127:$U$142,15,FALSE)*Parameters!$V$126</f>
        <v>5.859</v>
      </c>
      <c r="K51" s="16">
        <f>Parameters!$C60-('Concentrische proefvlakken'!$J51/100)*(('Concentrische proefvlakken'!$H51/2)-1.5)</f>
        <v>1.5378849999999999</v>
      </c>
      <c r="L51" s="58">
        <f t="shared" si="7"/>
        <v>0</v>
      </c>
      <c r="M51" s="13" t="s">
        <v>52</v>
      </c>
      <c r="N51" s="53"/>
      <c r="O51" s="53"/>
      <c r="P51" s="170">
        <f>VLOOKUP($G$5,Parameters!$B$127:$U$142,15,FALSE)*Parameters!$V$126</f>
        <v>5.859</v>
      </c>
      <c r="Q51" s="16">
        <f>Parameters!$C60-('Concentrische proefvlakken'!$P51/100)*(('Concentrische proefvlakken'!$N51/2)-1.5)</f>
        <v>1.5378849999999999</v>
      </c>
      <c r="R51" s="58">
        <f t="shared" si="5"/>
        <v>0</v>
      </c>
      <c r="S51" s="13" t="s">
        <v>52</v>
      </c>
      <c r="T51" s="53"/>
      <c r="U51" s="53"/>
      <c r="V51" s="170">
        <f>VLOOKUP($G$5,Parameters!$B$127:$U$142,15,FALSE)*Parameters!$V$126</f>
        <v>5.859</v>
      </c>
      <c r="W51" s="16">
        <f>Parameters!$C60-('Concentrische proefvlakken'!$V51/100)*(('Concentrische proefvlakken'!$T51/2)-1.5)</f>
        <v>1.5378849999999999</v>
      </c>
      <c r="X51" s="18">
        <f t="shared" si="6"/>
        <v>0</v>
      </c>
    </row>
    <row r="52" spans="1:24" x14ac:dyDescent="0.25">
      <c r="A52" s="13" t="s">
        <v>53</v>
      </c>
      <c r="B52" s="53"/>
      <c r="C52" s="53"/>
      <c r="D52" s="170">
        <f>VLOOKUP($G$5,Parameters!$B$127:$U$142,16,FALSE)*Parameters!$V$126</f>
        <v>6.6959999999999997</v>
      </c>
      <c r="E52" s="80">
        <f>Parameters!$C61-('Concentrische proefvlakken'!$D52/100)*(('Concentrische proefvlakken'!$B52/2)-1.5)</f>
        <v>1.6504400000000001</v>
      </c>
      <c r="F52" s="171">
        <f t="shared" si="4"/>
        <v>0</v>
      </c>
      <c r="G52" s="13" t="s">
        <v>53</v>
      </c>
      <c r="H52" s="53"/>
      <c r="I52" s="53"/>
      <c r="J52" s="170">
        <f>VLOOKUP($G$5,Parameters!$B$127:$U$142,16,FALSE)*Parameters!$V$126</f>
        <v>6.6959999999999997</v>
      </c>
      <c r="K52" s="16">
        <f>Parameters!$C61-('Concentrische proefvlakken'!$J52/100)*(('Concentrische proefvlakken'!$H52/2)-1.5)</f>
        <v>1.6504400000000001</v>
      </c>
      <c r="L52" s="58">
        <f t="shared" si="7"/>
        <v>0</v>
      </c>
      <c r="M52" s="13" t="s">
        <v>53</v>
      </c>
      <c r="N52" s="53"/>
      <c r="O52" s="53"/>
      <c r="P52" s="170">
        <f>VLOOKUP($G$5,Parameters!$B$127:$U$142,16,FALSE)*Parameters!$V$126</f>
        <v>6.6959999999999997</v>
      </c>
      <c r="Q52" s="16">
        <f>Parameters!$C61-('Concentrische proefvlakken'!$P52/100)*(('Concentrische proefvlakken'!$N52/2)-1.5)</f>
        <v>1.6504400000000001</v>
      </c>
      <c r="R52" s="58">
        <f t="shared" si="5"/>
        <v>0</v>
      </c>
      <c r="S52" s="13" t="s">
        <v>53</v>
      </c>
      <c r="T52" s="53"/>
      <c r="U52" s="53"/>
      <c r="V52" s="170">
        <f>VLOOKUP($G$5,Parameters!$B$127:$U$142,16,FALSE)*Parameters!$V$126</f>
        <v>6.6959999999999997</v>
      </c>
      <c r="W52" s="16">
        <f>Parameters!$C61-('Concentrische proefvlakken'!$V52/100)*(('Concentrische proefvlakken'!$T52/2)-1.5)</f>
        <v>1.6504400000000001</v>
      </c>
      <c r="X52" s="18">
        <f t="shared" si="6"/>
        <v>0</v>
      </c>
    </row>
    <row r="53" spans="1:24" x14ac:dyDescent="0.25">
      <c r="A53" s="13" t="s">
        <v>54</v>
      </c>
      <c r="B53" s="53"/>
      <c r="C53" s="53"/>
      <c r="D53" s="170">
        <f>VLOOKUP($G$5,Parameters!$B$127:$U$142,17,FALSE)*Parameters!$V$126</f>
        <v>6.6959999999999997</v>
      </c>
      <c r="E53" s="80">
        <f>Parameters!$C62-('Concentrische proefvlakken'!$D53/100)*(('Concentrische proefvlakken'!$B53/2)-1.5)</f>
        <v>1.75044</v>
      </c>
      <c r="F53" s="171">
        <f t="shared" si="4"/>
        <v>0</v>
      </c>
      <c r="G53" s="13" t="s">
        <v>54</v>
      </c>
      <c r="H53" s="53"/>
      <c r="I53" s="53"/>
      <c r="J53" s="170">
        <f>VLOOKUP($G$5,Parameters!$B$127:$U$142,17,FALSE)*Parameters!$V$126</f>
        <v>6.6959999999999997</v>
      </c>
      <c r="K53" s="16">
        <f>Parameters!$C62-('Concentrische proefvlakken'!$J53/100)*(('Concentrische proefvlakken'!$H53/2)-1.5)</f>
        <v>1.75044</v>
      </c>
      <c r="L53" s="58">
        <f t="shared" si="7"/>
        <v>0</v>
      </c>
      <c r="M53" s="13" t="s">
        <v>54</v>
      </c>
      <c r="N53" s="53"/>
      <c r="O53" s="53"/>
      <c r="P53" s="170">
        <f>VLOOKUP($G$5,Parameters!$B$127:$U$142,17,FALSE)*Parameters!$V$126</f>
        <v>6.6959999999999997</v>
      </c>
      <c r="Q53" s="16">
        <f>Parameters!$C62-('Concentrische proefvlakken'!$P53/100)*(('Concentrische proefvlakken'!$N53/2)-1.5)</f>
        <v>1.75044</v>
      </c>
      <c r="R53" s="58">
        <f t="shared" si="5"/>
        <v>0</v>
      </c>
      <c r="S53" s="13" t="s">
        <v>54</v>
      </c>
      <c r="T53" s="53"/>
      <c r="U53" s="53"/>
      <c r="V53" s="170">
        <f>VLOOKUP($G$5,Parameters!$B$127:$U$142,17,FALSE)*Parameters!$V$126</f>
        <v>6.6959999999999997</v>
      </c>
      <c r="W53" s="16">
        <f>Parameters!$C62-('Concentrische proefvlakken'!$V53/100)*(('Concentrische proefvlakken'!$T53/2)-1.5)</f>
        <v>1.75044</v>
      </c>
      <c r="X53" s="18">
        <f t="shared" si="6"/>
        <v>0</v>
      </c>
    </row>
    <row r="54" spans="1:24" x14ac:dyDescent="0.25">
      <c r="A54" s="13" t="s">
        <v>55</v>
      </c>
      <c r="B54" s="53"/>
      <c r="C54" s="53"/>
      <c r="D54" s="170">
        <f>VLOOKUP($G$5,Parameters!$B$127:$U$142,18,FALSE)*Parameters!$V$126</f>
        <v>6.6959999999999997</v>
      </c>
      <c r="E54" s="80">
        <f>Parameters!$C63-('Concentrische proefvlakken'!$D54/100)*(('Concentrische proefvlakken'!$B54/2)-1.5)</f>
        <v>1.8504400000000001</v>
      </c>
      <c r="F54" s="171">
        <f t="shared" si="4"/>
        <v>0</v>
      </c>
      <c r="G54" s="13" t="s">
        <v>55</v>
      </c>
      <c r="H54" s="53"/>
      <c r="I54" s="53"/>
      <c r="J54" s="170">
        <f>VLOOKUP($G$5,Parameters!$B$127:$U$142,18,FALSE)*Parameters!$V$126</f>
        <v>6.6959999999999997</v>
      </c>
      <c r="K54" s="16">
        <f>Parameters!$C63-('Concentrische proefvlakken'!$J54/100)*(('Concentrische proefvlakken'!$H54/2)-1.5)</f>
        <v>1.8504400000000001</v>
      </c>
      <c r="L54" s="58">
        <f t="shared" si="7"/>
        <v>0</v>
      </c>
      <c r="M54" s="13" t="s">
        <v>55</v>
      </c>
      <c r="N54" s="53"/>
      <c r="O54" s="53"/>
      <c r="P54" s="170">
        <f>VLOOKUP($G$5,Parameters!$B$127:$U$142,18,FALSE)*Parameters!$V$126</f>
        <v>6.6959999999999997</v>
      </c>
      <c r="Q54" s="16">
        <f>Parameters!$C63-('Concentrische proefvlakken'!$P54/100)*(('Concentrische proefvlakken'!$N54/2)-1.5)</f>
        <v>1.8504400000000001</v>
      </c>
      <c r="R54" s="58">
        <f t="shared" si="5"/>
        <v>0</v>
      </c>
      <c r="S54" s="13" t="s">
        <v>55</v>
      </c>
      <c r="T54" s="53"/>
      <c r="U54" s="53"/>
      <c r="V54" s="170">
        <f>VLOOKUP($G$5,Parameters!$B$127:$U$142,18,FALSE)*Parameters!$V$126</f>
        <v>6.6959999999999997</v>
      </c>
      <c r="W54" s="16">
        <f>Parameters!$C63-('Concentrische proefvlakken'!$V54/100)*(('Concentrische proefvlakken'!$T54/2)-1.5)</f>
        <v>1.8504400000000001</v>
      </c>
      <c r="X54" s="18">
        <f t="shared" si="6"/>
        <v>0</v>
      </c>
    </row>
    <row r="55" spans="1:24" x14ac:dyDescent="0.25">
      <c r="A55" s="13" t="s">
        <v>56</v>
      </c>
      <c r="B55" s="53"/>
      <c r="C55" s="53"/>
      <c r="D55" s="170">
        <f>VLOOKUP($G$5,Parameters!$B$127:$U$142,19,FALSE)*Parameters!$V$126</f>
        <v>8.3699999999999992</v>
      </c>
      <c r="E55" s="80">
        <f>Parameters!$C64-('Concentrische proefvlakken'!$D55/100)*(('Concentrische proefvlakken'!$B55/2)-1.5)</f>
        <v>1.9755500000000001</v>
      </c>
      <c r="F55" s="171">
        <f t="shared" si="4"/>
        <v>0</v>
      </c>
      <c r="G55" s="13" t="s">
        <v>56</v>
      </c>
      <c r="H55" s="53"/>
      <c r="I55" s="53"/>
      <c r="J55" s="170">
        <f>VLOOKUP($G$5,Parameters!$B$127:$U$142,19,FALSE)*Parameters!$V$126</f>
        <v>8.3699999999999992</v>
      </c>
      <c r="K55" s="16">
        <f>Parameters!$C64-('Concentrische proefvlakken'!$J55/100)*(('Concentrische proefvlakken'!$H55/2)-1.5)</f>
        <v>1.9755500000000001</v>
      </c>
      <c r="L55" s="58">
        <f>(0.0785*K55*K55*H55)*I55</f>
        <v>0</v>
      </c>
      <c r="M55" s="13" t="s">
        <v>56</v>
      </c>
      <c r="N55" s="53"/>
      <c r="O55" s="53"/>
      <c r="P55" s="170">
        <f>VLOOKUP($G$5,Parameters!$B$127:$U$142,19,FALSE)*Parameters!$V$126</f>
        <v>8.3699999999999992</v>
      </c>
      <c r="Q55" s="16">
        <f>Parameters!$C64-('Concentrische proefvlakken'!$P55/100)*(('Concentrische proefvlakken'!$N55/2)-1.5)</f>
        <v>1.9755500000000001</v>
      </c>
      <c r="R55" s="58">
        <f t="shared" si="5"/>
        <v>0</v>
      </c>
      <c r="S55" s="13" t="s">
        <v>56</v>
      </c>
      <c r="T55" s="53"/>
      <c r="U55" s="53"/>
      <c r="V55" s="170">
        <f>VLOOKUP($G$5,Parameters!$B$127:$U$142,19,FALSE)*Parameters!$V$126</f>
        <v>8.3699999999999992</v>
      </c>
      <c r="W55" s="16">
        <f>Parameters!$C64-('Concentrische proefvlakken'!$V55/100)*(('Concentrische proefvlakken'!$T55/2)-1.5)</f>
        <v>1.9755500000000001</v>
      </c>
      <c r="X55" s="18">
        <f t="shared" si="6"/>
        <v>0</v>
      </c>
    </row>
    <row r="56" spans="1:24" x14ac:dyDescent="0.25">
      <c r="A56" s="13" t="s">
        <v>57</v>
      </c>
      <c r="B56" s="53"/>
      <c r="C56" s="53"/>
      <c r="D56" s="175">
        <f>VLOOKUP($G$5,Parameters!$B$127:$U$142,20,FALSE)*Parameters!$V$126</f>
        <v>8.3699999999999992</v>
      </c>
      <c r="E56" s="180">
        <f>Parameters!$C65-('Concentrische proefvlakken'!$D56/100)*(('Concentrische proefvlakken'!$B56/2)-1.5)</f>
        <v>2.0755499999999998</v>
      </c>
      <c r="F56" s="171">
        <f t="shared" si="4"/>
        <v>0</v>
      </c>
      <c r="G56" s="13" t="s">
        <v>57</v>
      </c>
      <c r="H56" s="53"/>
      <c r="I56" s="53"/>
      <c r="J56" s="175">
        <f>VLOOKUP($G$5,Parameters!$B$127:$U$142,20,FALSE)*Parameters!$V$126</f>
        <v>8.3699999999999992</v>
      </c>
      <c r="K56" s="16">
        <f>Parameters!$C65-('Concentrische proefvlakken'!$J56/100)*(('Concentrische proefvlakken'!$H56/2)-1.5)</f>
        <v>2.0755499999999998</v>
      </c>
      <c r="L56" s="58">
        <f t="shared" si="7"/>
        <v>0</v>
      </c>
      <c r="M56" s="13" t="s">
        <v>57</v>
      </c>
      <c r="N56" s="53"/>
      <c r="O56" s="53"/>
      <c r="P56" s="175">
        <f>VLOOKUP($G$5,Parameters!$B$127:$U$142,20,FALSE)*Parameters!$V$126</f>
        <v>8.3699999999999992</v>
      </c>
      <c r="Q56" s="16">
        <f>Parameters!$C65-('Concentrische proefvlakken'!$P56/100)*(('Concentrische proefvlakken'!$N56/2)-1.5)</f>
        <v>2.0755499999999998</v>
      </c>
      <c r="R56" s="58">
        <f t="shared" si="5"/>
        <v>0</v>
      </c>
      <c r="S56" s="13" t="s">
        <v>57</v>
      </c>
      <c r="T56" s="53"/>
      <c r="U56" s="53"/>
      <c r="V56" s="175">
        <f>VLOOKUP($G$5,Parameters!$B$127:$U$142,20,FALSE)*Parameters!$V$126</f>
        <v>8.3699999999999992</v>
      </c>
      <c r="W56" s="16">
        <f>Parameters!$C65-('Concentrische proefvlakken'!$V56/100)*(('Concentrische proefvlakken'!$T56/2)-1.5)</f>
        <v>2.0755499999999998</v>
      </c>
      <c r="X56" s="18">
        <f t="shared" si="6"/>
        <v>0</v>
      </c>
    </row>
    <row r="57" spans="1:24" x14ac:dyDescent="0.25">
      <c r="A57" s="63"/>
      <c r="B57" s="39"/>
      <c r="C57" s="39"/>
      <c r="D57" s="39"/>
      <c r="E57" s="173"/>
      <c r="F57" s="64"/>
      <c r="G57" s="39"/>
      <c r="H57" s="39"/>
      <c r="I57" s="39"/>
      <c r="J57" s="39"/>
      <c r="K57" s="39"/>
      <c r="L57" s="64"/>
      <c r="M57" s="39"/>
      <c r="N57" s="39"/>
      <c r="O57" s="39"/>
      <c r="P57" s="39"/>
      <c r="Q57" s="39"/>
      <c r="R57" s="39"/>
      <c r="S57" s="63"/>
      <c r="T57" s="39"/>
      <c r="U57" s="39"/>
      <c r="V57" s="39"/>
      <c r="W57" s="39"/>
      <c r="X57" s="64"/>
    </row>
    <row r="58" spans="1:24" x14ac:dyDescent="0.25">
      <c r="A58" s="31" t="s">
        <v>14</v>
      </c>
      <c r="B58" s="32"/>
      <c r="C58" s="32"/>
      <c r="D58" s="32"/>
      <c r="E58" s="78">
        <f>SUM(C38:C56)</f>
        <v>0</v>
      </c>
      <c r="F58" s="33" t="s">
        <v>16</v>
      </c>
      <c r="G58" s="31" t="s">
        <v>14</v>
      </c>
      <c r="H58" s="32"/>
      <c r="I58" s="32"/>
      <c r="J58" s="32"/>
      <c r="K58" s="78">
        <f>SUM(I38:I56)</f>
        <v>0</v>
      </c>
      <c r="L58" s="33" t="s">
        <v>16</v>
      </c>
      <c r="M58" s="31" t="s">
        <v>14</v>
      </c>
      <c r="N58" s="32"/>
      <c r="O58" s="32"/>
      <c r="P58" s="32"/>
      <c r="Q58" s="78">
        <f>SUM(O38:O56)</f>
        <v>0</v>
      </c>
      <c r="R58" s="33" t="s">
        <v>16</v>
      </c>
      <c r="S58" s="31" t="s">
        <v>14</v>
      </c>
      <c r="T58" s="32"/>
      <c r="U58" s="32"/>
      <c r="V58" s="32"/>
      <c r="W58" s="78">
        <f>SUM(U38:U56)</f>
        <v>0</v>
      </c>
      <c r="X58" s="33" t="s">
        <v>16</v>
      </c>
    </row>
    <row r="59" spans="1:24" x14ac:dyDescent="0.25">
      <c r="A59" s="59" t="s">
        <v>89</v>
      </c>
      <c r="B59" s="2"/>
      <c r="C59" s="2"/>
      <c r="D59" s="2"/>
      <c r="E59" s="77" t="e">
        <f>Parameters!I119</f>
        <v>#DIV/0!</v>
      </c>
      <c r="F59" s="2" t="s">
        <v>8</v>
      </c>
      <c r="G59" s="59" t="s">
        <v>89</v>
      </c>
      <c r="H59" s="2"/>
      <c r="I59" s="2"/>
      <c r="J59" s="2"/>
      <c r="K59" s="77" t="e">
        <f>Parameters!J119</f>
        <v>#DIV/0!</v>
      </c>
      <c r="L59" s="1" t="s">
        <v>8</v>
      </c>
      <c r="M59" s="59" t="s">
        <v>89</v>
      </c>
      <c r="N59" s="2"/>
      <c r="O59" s="2"/>
      <c r="P59" s="2"/>
      <c r="Q59" s="77" t="e">
        <f>Parameters!K119</f>
        <v>#DIV/0!</v>
      </c>
      <c r="R59" s="1" t="s">
        <v>8</v>
      </c>
      <c r="S59" s="59" t="s">
        <v>89</v>
      </c>
      <c r="T59" s="2"/>
      <c r="U59" s="2"/>
      <c r="V59" s="2"/>
      <c r="W59" s="77" t="e">
        <f>Parameters!L119</f>
        <v>#DIV/0!</v>
      </c>
      <c r="X59" s="1" t="s">
        <v>8</v>
      </c>
    </row>
    <row r="60" spans="1:24" x14ac:dyDescent="0.25">
      <c r="A60" s="59" t="s">
        <v>88</v>
      </c>
      <c r="B60" s="2"/>
      <c r="C60" s="2"/>
      <c r="D60" s="2"/>
      <c r="E60" s="77" t="e">
        <f>(SUM(Parameters!I47:I65)/E58)*100</f>
        <v>#DIV/0!</v>
      </c>
      <c r="F60" s="2" t="s">
        <v>61</v>
      </c>
      <c r="G60" s="59" t="s">
        <v>88</v>
      </c>
      <c r="H60" s="2"/>
      <c r="I60" s="2"/>
      <c r="J60" s="2"/>
      <c r="K60" s="77" t="e">
        <f>(SUM(Parameters!J47:J65)/K58)*100</f>
        <v>#DIV/0!</v>
      </c>
      <c r="L60" s="1" t="s">
        <v>61</v>
      </c>
      <c r="M60" s="59" t="s">
        <v>88</v>
      </c>
      <c r="N60" s="2"/>
      <c r="O60" s="2"/>
      <c r="P60" s="2"/>
      <c r="Q60" s="77" t="e">
        <f>(SUM(Parameters!K47:K65)/Q58)*100</f>
        <v>#DIV/0!</v>
      </c>
      <c r="R60" s="1" t="s">
        <v>8</v>
      </c>
      <c r="S60" s="59" t="s">
        <v>88</v>
      </c>
      <c r="T60" s="2"/>
      <c r="U60" s="2"/>
      <c r="V60" s="2"/>
      <c r="W60" s="77" t="e">
        <f>(SUM(Parameters!L47:L65)/W58)*100</f>
        <v>#DIV/0!</v>
      </c>
      <c r="X60" s="1" t="s">
        <v>8</v>
      </c>
    </row>
    <row r="61" spans="1:24" x14ac:dyDescent="0.25">
      <c r="A61" s="126" t="s">
        <v>90</v>
      </c>
      <c r="B61" s="73"/>
      <c r="C61" s="73"/>
      <c r="D61" s="14"/>
      <c r="E61" s="125">
        <f>SUM(F38:F56)</f>
        <v>0</v>
      </c>
      <c r="F61" s="127" t="s">
        <v>9</v>
      </c>
      <c r="G61" s="126" t="s">
        <v>90</v>
      </c>
      <c r="H61" s="73"/>
      <c r="I61" s="73"/>
      <c r="J61" s="14"/>
      <c r="K61" s="100">
        <f>SUM(L38:L56)</f>
        <v>0</v>
      </c>
      <c r="L61" s="127" t="s">
        <v>9</v>
      </c>
      <c r="M61" s="126" t="s">
        <v>90</v>
      </c>
      <c r="N61" s="73"/>
      <c r="O61" s="73"/>
      <c r="P61" s="14"/>
      <c r="Q61" s="125">
        <f>SUM(R38:R56)</f>
        <v>0</v>
      </c>
      <c r="R61" s="127" t="s">
        <v>9</v>
      </c>
      <c r="S61" s="126" t="s">
        <v>90</v>
      </c>
      <c r="T61" s="73"/>
      <c r="U61" s="73"/>
      <c r="V61" s="14"/>
      <c r="W61" s="125">
        <f>SUM(X38:X56)</f>
        <v>0</v>
      </c>
      <c r="X61" s="127" t="s">
        <v>9</v>
      </c>
    </row>
    <row r="62" spans="1:24" x14ac:dyDescent="0.25">
      <c r="A62" s="142"/>
      <c r="B62" s="143"/>
      <c r="C62" s="143"/>
      <c r="D62" s="144"/>
      <c r="E62" s="145"/>
      <c r="F62" s="146"/>
      <c r="G62" s="147"/>
      <c r="H62" s="143"/>
      <c r="I62" s="143"/>
      <c r="J62" s="144"/>
      <c r="K62" s="145"/>
      <c r="L62" s="146"/>
      <c r="M62" s="147"/>
      <c r="N62" s="143"/>
      <c r="O62" s="143"/>
      <c r="P62" s="144"/>
      <c r="Q62" s="145"/>
      <c r="R62" s="146"/>
      <c r="S62" s="147"/>
      <c r="T62" s="143"/>
      <c r="U62" s="143"/>
      <c r="V62" s="144"/>
      <c r="W62" s="145"/>
      <c r="X62" s="148"/>
    </row>
    <row r="63" spans="1:24" x14ac:dyDescent="0.25">
      <c r="A63" s="279" t="s">
        <v>105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1"/>
    </row>
    <row r="64" spans="1:24" ht="6" customHeight="1" x14ac:dyDescent="0.25">
      <c r="A64" s="61"/>
      <c r="B64" s="72"/>
      <c r="C64" s="72"/>
      <c r="D64" s="2"/>
      <c r="E64" s="76"/>
      <c r="F64" s="123"/>
      <c r="G64" s="124"/>
      <c r="H64" s="72"/>
      <c r="I64" s="72"/>
      <c r="J64" s="2"/>
      <c r="K64" s="76"/>
      <c r="L64" s="123"/>
      <c r="M64" s="124"/>
      <c r="N64" s="72"/>
      <c r="O64" s="72"/>
      <c r="P64" s="2"/>
      <c r="Q64" s="76"/>
      <c r="R64" s="123"/>
      <c r="S64" s="124"/>
      <c r="T64" s="72"/>
      <c r="U64" s="72"/>
      <c r="V64" s="2"/>
      <c r="W64" s="76"/>
      <c r="X64" s="34"/>
    </row>
    <row r="65" spans="1:24" x14ac:dyDescent="0.25">
      <c r="A65" s="59"/>
      <c r="B65" s="72" t="s">
        <v>60</v>
      </c>
      <c r="C65" s="2"/>
      <c r="E65" s="72" t="s">
        <v>62</v>
      </c>
      <c r="F65" s="2"/>
      <c r="G65" s="120"/>
      <c r="H65" s="72" t="s">
        <v>59</v>
      </c>
      <c r="I65" s="2"/>
      <c r="K65" s="72" t="s">
        <v>58</v>
      </c>
      <c r="L65" s="72"/>
      <c r="M65" s="120"/>
      <c r="N65" s="72" t="s">
        <v>23</v>
      </c>
      <c r="O65" s="2"/>
      <c r="P65" s="2"/>
      <c r="Q65" s="72" t="s">
        <v>24</v>
      </c>
      <c r="R65" s="123"/>
      <c r="S65" s="124"/>
      <c r="T65" s="9" t="s">
        <v>11</v>
      </c>
      <c r="U65" s="2"/>
      <c r="V65" s="2"/>
      <c r="W65" s="72" t="s">
        <v>1</v>
      </c>
      <c r="X65" s="60"/>
    </row>
    <row r="66" spans="1:24" x14ac:dyDescent="0.25">
      <c r="A66" s="59"/>
      <c r="B66" s="25" t="e">
        <f>Parameters!E69*100</f>
        <v>#DIV/0!</v>
      </c>
      <c r="C66" s="2" t="s">
        <v>61</v>
      </c>
      <c r="D66" s="120"/>
      <c r="E66" s="25" t="e">
        <f>Parameters!E122</f>
        <v>#DIV/0!</v>
      </c>
      <c r="F66" s="2" t="s">
        <v>9</v>
      </c>
      <c r="G66" s="120"/>
      <c r="H66" s="25" t="e">
        <f>Parameters!E94</f>
        <v>#DIV/0!</v>
      </c>
      <c r="I66" s="2" t="s">
        <v>85</v>
      </c>
      <c r="J66" s="120"/>
      <c r="K66" s="25">
        <f>INDEX(Parameters!B25:E41,Parameters!F27,Parameters!F28)</f>
        <v>1.1599999999999999</v>
      </c>
      <c r="L66" s="120"/>
      <c r="M66" s="120"/>
      <c r="N66" s="25" t="e">
        <f>(Q5/S5)*B5</f>
        <v>#DIV/0!</v>
      </c>
      <c r="O66" s="2" t="s">
        <v>9</v>
      </c>
      <c r="P66" s="2"/>
      <c r="Q66" s="25" t="e">
        <f>(N66*K66)-N66</f>
        <v>#DIV/0!</v>
      </c>
      <c r="R66" s="124" t="s">
        <v>9</v>
      </c>
      <c r="S66" s="124"/>
      <c r="T66" s="40">
        <f>SUM(E30,K30,Q30,W30,E58,K58,Q58,W58)</f>
        <v>0</v>
      </c>
      <c r="U66" s="2" t="s">
        <v>12</v>
      </c>
      <c r="V66" s="2"/>
      <c r="W66" s="25" t="e">
        <f>N66+Q66</f>
        <v>#DIV/0!</v>
      </c>
      <c r="X66" s="1" t="s">
        <v>9</v>
      </c>
    </row>
    <row r="67" spans="1:24" x14ac:dyDescent="0.25">
      <c r="A67" s="113"/>
      <c r="B67" s="14"/>
      <c r="C67" s="14"/>
      <c r="D67" s="14"/>
      <c r="E67" s="14"/>
      <c r="F67" s="14"/>
      <c r="G67" s="14"/>
      <c r="H67" s="14"/>
      <c r="I67" s="14"/>
      <c r="J67" s="14"/>
      <c r="K67" s="125"/>
      <c r="L67" s="140"/>
      <c r="M67" s="141"/>
      <c r="N67" s="14"/>
      <c r="O67" s="14"/>
      <c r="P67" s="14"/>
      <c r="Q67" s="14"/>
      <c r="R67" s="14"/>
      <c r="S67" s="141"/>
      <c r="T67" s="73"/>
      <c r="U67" s="73"/>
      <c r="V67" s="14"/>
      <c r="W67" s="125"/>
      <c r="X67" s="127"/>
    </row>
    <row r="68" spans="1:24" ht="30" customHeight="1" thickBot="1" x14ac:dyDescent="0.3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/>
    </row>
    <row r="70" spans="1:24" x14ac:dyDescent="0.25">
      <c r="N70" s="165"/>
    </row>
    <row r="71" spans="1:24" x14ac:dyDescent="0.25">
      <c r="H71" s="100"/>
    </row>
  </sheetData>
  <sheetProtection password="E0F0" sheet="1" objects="1" scenarios="1"/>
  <mergeCells count="20">
    <mergeCell ref="A2:I2"/>
    <mergeCell ref="A8:B8"/>
    <mergeCell ref="C8:F8"/>
    <mergeCell ref="G8:H8"/>
    <mergeCell ref="O36:R36"/>
    <mergeCell ref="A63:X63"/>
    <mergeCell ref="S36:T36"/>
    <mergeCell ref="U36:X36"/>
    <mergeCell ref="A1:X1"/>
    <mergeCell ref="A36:B36"/>
    <mergeCell ref="C36:F36"/>
    <mergeCell ref="G36:H36"/>
    <mergeCell ref="I36:L36"/>
    <mergeCell ref="M36:N36"/>
    <mergeCell ref="I8:L8"/>
    <mergeCell ref="M8:N8"/>
    <mergeCell ref="O8:R8"/>
    <mergeCell ref="S8:T8"/>
    <mergeCell ref="U8:X8"/>
    <mergeCell ref="A7:X7"/>
  </mergeCells>
  <pageMargins left="0.7" right="0.7" top="0.75" bottom="0.75" header="0.3" footer="0.3"/>
  <pageSetup paperSize="8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Parameters!$B$26:$B$41</xm:f>
          </x14:formula1>
          <xm:sqref>G5</xm:sqref>
        </x14:dataValidation>
        <x14:dataValidation type="list" allowBlank="1" showInputMessage="1" showErrorMessage="1">
          <x14:formula1>
            <xm:f>Parameters!$C$25:$E$25</xm:f>
          </x14:formula1>
          <xm:sqref>I5</xm:sqref>
        </x14:dataValidation>
        <x14:dataValidation type="list" allowBlank="1" showInputMessage="1" showErrorMessage="1">
          <x14:formula1>
            <xm:f>Parameters!$B$6:$B$10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zoomScale="80" zoomScaleNormal="80" workbookViewId="0">
      <selection activeCell="D37" sqref="D37"/>
    </sheetView>
  </sheetViews>
  <sheetFormatPr defaultRowHeight="15" x14ac:dyDescent="0.25"/>
  <cols>
    <col min="1" max="7" width="15.7109375" customWidth="1"/>
  </cols>
  <sheetData>
    <row r="1" spans="1:7" ht="54" customHeight="1" x14ac:dyDescent="0.35">
      <c r="A1" s="295" t="s">
        <v>106</v>
      </c>
      <c r="B1" s="296"/>
      <c r="C1" s="296"/>
      <c r="D1" s="296"/>
      <c r="E1" s="296"/>
      <c r="F1" s="296"/>
      <c r="G1" s="297"/>
    </row>
    <row r="2" spans="1:7" ht="14.45" x14ac:dyDescent="0.35">
      <c r="A2" s="279" t="s">
        <v>91</v>
      </c>
      <c r="B2" s="280"/>
      <c r="C2" s="280"/>
      <c r="D2" s="280"/>
      <c r="E2" s="280"/>
      <c r="F2" s="280"/>
      <c r="G2" s="281"/>
    </row>
    <row r="3" spans="1:7" ht="6" customHeight="1" x14ac:dyDescent="0.35">
      <c r="A3" s="59"/>
      <c r="B3" s="2"/>
      <c r="C3" s="2"/>
      <c r="D3" s="2"/>
      <c r="E3" s="2"/>
      <c r="F3" s="2"/>
      <c r="G3" s="1"/>
    </row>
    <row r="4" spans="1:7" x14ac:dyDescent="0.25">
      <c r="A4" s="59"/>
      <c r="B4" s="110" t="s">
        <v>5</v>
      </c>
      <c r="C4" s="2"/>
      <c r="D4" s="72" t="s">
        <v>58</v>
      </c>
      <c r="E4" s="2"/>
      <c r="F4" s="73" t="s">
        <v>22</v>
      </c>
      <c r="G4" s="1"/>
    </row>
    <row r="5" spans="1:7" x14ac:dyDescent="0.25">
      <c r="A5" s="59"/>
      <c r="B5" s="182">
        <v>100</v>
      </c>
      <c r="C5" s="183" t="s">
        <v>6</v>
      </c>
      <c r="D5" s="25">
        <f>INDEX(Parameters!B25:E41,Parameters!F36,Parameters!F37)</f>
        <v>1.32</v>
      </c>
      <c r="E5" s="2"/>
      <c r="F5" s="53" t="s">
        <v>71</v>
      </c>
      <c r="G5" s="1"/>
    </row>
    <row r="6" spans="1:7" x14ac:dyDescent="0.25">
      <c r="A6" s="59"/>
      <c r="B6" s="184" t="s">
        <v>92</v>
      </c>
      <c r="C6" s="183"/>
      <c r="D6" s="72" t="s">
        <v>94</v>
      </c>
      <c r="E6" s="2"/>
      <c r="F6" s="72" t="s">
        <v>27</v>
      </c>
      <c r="G6" s="1"/>
    </row>
    <row r="7" spans="1:7" x14ac:dyDescent="0.25">
      <c r="A7" s="59"/>
      <c r="B7" s="182">
        <v>200</v>
      </c>
      <c r="C7" s="183" t="s">
        <v>8</v>
      </c>
      <c r="D7" s="25">
        <f>B9*B7/100</f>
        <v>20</v>
      </c>
      <c r="E7" s="2" t="s">
        <v>6</v>
      </c>
      <c r="F7" s="53" t="s">
        <v>28</v>
      </c>
      <c r="G7" s="1"/>
    </row>
    <row r="8" spans="1:7" x14ac:dyDescent="0.25">
      <c r="A8" s="59"/>
      <c r="B8" s="184" t="s">
        <v>93</v>
      </c>
      <c r="C8" s="183"/>
      <c r="D8" s="2"/>
      <c r="E8" s="2"/>
      <c r="F8" s="2"/>
      <c r="G8" s="136"/>
    </row>
    <row r="9" spans="1:7" x14ac:dyDescent="0.25">
      <c r="A9" s="59"/>
      <c r="B9" s="182">
        <v>10</v>
      </c>
      <c r="C9" s="183" t="s">
        <v>8</v>
      </c>
      <c r="D9" s="2"/>
      <c r="E9" s="2"/>
      <c r="F9" s="2"/>
      <c r="G9" s="1"/>
    </row>
    <row r="10" spans="1:7" x14ac:dyDescent="0.25">
      <c r="A10" s="113"/>
      <c r="B10" s="3"/>
      <c r="C10" s="2"/>
      <c r="D10" s="2"/>
      <c r="E10" s="2"/>
      <c r="F10" s="2"/>
      <c r="G10" s="1"/>
    </row>
    <row r="11" spans="1:7" ht="14.45" x14ac:dyDescent="0.35">
      <c r="A11" s="279" t="s">
        <v>103</v>
      </c>
      <c r="B11" s="280"/>
      <c r="C11" s="280"/>
      <c r="D11" s="280"/>
      <c r="E11" s="280"/>
      <c r="F11" s="280"/>
      <c r="G11" s="281"/>
    </row>
    <row r="12" spans="1:7" ht="6" customHeight="1" thickBot="1" x14ac:dyDescent="0.3">
      <c r="A12" s="134"/>
      <c r="B12" s="135"/>
      <c r="C12" s="135"/>
      <c r="D12" s="135"/>
      <c r="E12" s="135"/>
      <c r="F12" s="135"/>
      <c r="G12" s="137"/>
    </row>
    <row r="13" spans="1:7" ht="118.5" customHeight="1" thickBot="1" x14ac:dyDescent="0.3">
      <c r="A13" s="59"/>
      <c r="B13" s="130" t="s">
        <v>39</v>
      </c>
      <c r="C13" s="28" t="s">
        <v>95</v>
      </c>
      <c r="D13" s="28" t="s">
        <v>13</v>
      </c>
      <c r="E13" s="172" t="s">
        <v>125</v>
      </c>
      <c r="F13" s="29" t="s">
        <v>84</v>
      </c>
      <c r="G13" s="138"/>
    </row>
    <row r="14" spans="1:7" x14ac:dyDescent="0.25">
      <c r="A14" s="59"/>
      <c r="B14" s="264" t="s">
        <v>124</v>
      </c>
      <c r="C14" s="257"/>
      <c r="D14" s="257"/>
      <c r="E14" s="15">
        <f>Parameters!$C47-(Parameters!M74/100)*((C14/2)-1.5)</f>
        <v>0.182085</v>
      </c>
      <c r="F14" s="178">
        <f>(0.0785*E14*E14*C14)*D14</f>
        <v>0</v>
      </c>
      <c r="G14" s="1"/>
    </row>
    <row r="15" spans="1:7" x14ac:dyDescent="0.25">
      <c r="A15" s="59"/>
      <c r="B15" s="128" t="s">
        <v>40</v>
      </c>
      <c r="C15" s="258"/>
      <c r="D15" s="258"/>
      <c r="E15" s="16">
        <f>Parameters!$C48-(Parameters!M75/100)*((C15/2)-1.5)</f>
        <v>0.28208500000000003</v>
      </c>
      <c r="F15" s="178">
        <f t="shared" ref="F15:F32" si="0">(0.0785*E15*E15*C15)*D15</f>
        <v>0</v>
      </c>
      <c r="G15" s="1"/>
    </row>
    <row r="16" spans="1:7" x14ac:dyDescent="0.25">
      <c r="A16" s="59"/>
      <c r="B16" s="128" t="s">
        <v>41</v>
      </c>
      <c r="C16" s="258"/>
      <c r="D16" s="258"/>
      <c r="E16" s="16">
        <f>Parameters!$C49-(Parameters!M76/100)*((C16/2)-1.5)</f>
        <v>0.38208500000000001</v>
      </c>
      <c r="F16" s="178">
        <f t="shared" si="0"/>
        <v>0</v>
      </c>
      <c r="G16" s="1"/>
    </row>
    <row r="17" spans="1:10" x14ac:dyDescent="0.25">
      <c r="A17" s="59"/>
      <c r="B17" s="128" t="s">
        <v>42</v>
      </c>
      <c r="C17" s="258"/>
      <c r="D17" s="258"/>
      <c r="E17" s="16">
        <f>Parameters!$C50-(Parameters!M77/100)*((C17/2)-1.5)</f>
        <v>0.48208499999999999</v>
      </c>
      <c r="F17" s="178">
        <f t="shared" si="0"/>
        <v>0</v>
      </c>
      <c r="G17" s="1"/>
    </row>
    <row r="18" spans="1:10" x14ac:dyDescent="0.25">
      <c r="A18" s="59"/>
      <c r="B18" s="128" t="s">
        <v>43</v>
      </c>
      <c r="C18" s="258"/>
      <c r="D18" s="258"/>
      <c r="E18" s="16">
        <f>Parameters!$C51-(Parameters!M78/100)*((C18/2)-1.5)</f>
        <v>0.59278000000000008</v>
      </c>
      <c r="F18" s="178">
        <f t="shared" si="0"/>
        <v>0</v>
      </c>
      <c r="G18" s="1"/>
      <c r="J18" s="3"/>
    </row>
    <row r="19" spans="1:10" x14ac:dyDescent="0.25">
      <c r="A19" s="59"/>
      <c r="B19" s="128" t="s">
        <v>44</v>
      </c>
      <c r="C19" s="258"/>
      <c r="D19" s="258"/>
      <c r="E19" s="16">
        <f>Parameters!$C52-(Parameters!M79/100)*((C19/2)-1.5)</f>
        <v>0.69278000000000006</v>
      </c>
      <c r="F19" s="178">
        <f t="shared" si="0"/>
        <v>0</v>
      </c>
      <c r="G19" s="1"/>
    </row>
    <row r="20" spans="1:10" x14ac:dyDescent="0.25">
      <c r="A20" s="59"/>
      <c r="B20" s="128" t="s">
        <v>45</v>
      </c>
      <c r="C20" s="258"/>
      <c r="D20" s="258"/>
      <c r="E20" s="16">
        <f>Parameters!$C53-(Parameters!M80/100)*((C20/2)-1.5)</f>
        <v>0.80347500000000005</v>
      </c>
      <c r="F20" s="178">
        <f t="shared" si="0"/>
        <v>0</v>
      </c>
      <c r="G20" s="1"/>
    </row>
    <row r="21" spans="1:10" x14ac:dyDescent="0.25">
      <c r="A21" s="59"/>
      <c r="B21" s="128" t="s">
        <v>46</v>
      </c>
      <c r="C21" s="53"/>
      <c r="D21" s="207"/>
      <c r="E21" s="16">
        <f>Parameters!$C54-(Parameters!M81/100)*((C21/2)-1.5)</f>
        <v>0.90347500000000003</v>
      </c>
      <c r="F21" s="178">
        <f t="shared" si="0"/>
        <v>0</v>
      </c>
      <c r="G21" s="1"/>
    </row>
    <row r="22" spans="1:10" x14ac:dyDescent="0.25">
      <c r="A22" s="59"/>
      <c r="B22" s="128" t="s">
        <v>47</v>
      </c>
      <c r="C22" s="53"/>
      <c r="D22" s="207"/>
      <c r="E22" s="16">
        <f>Parameters!$C55-(Parameters!M82/100)*((C22/2)-1.5)</f>
        <v>1.01417</v>
      </c>
      <c r="F22" s="178">
        <f t="shared" si="0"/>
        <v>0</v>
      </c>
      <c r="G22" s="1"/>
    </row>
    <row r="23" spans="1:10" x14ac:dyDescent="0.25">
      <c r="A23" s="59"/>
      <c r="B23" s="128" t="s">
        <v>48</v>
      </c>
      <c r="C23" s="53"/>
      <c r="D23" s="207"/>
      <c r="E23" s="16">
        <f>Parameters!$C56-(Parameters!M83/100)*((C23/2)-1.5)</f>
        <v>1.1141700000000001</v>
      </c>
      <c r="F23" s="178">
        <f t="shared" si="0"/>
        <v>0</v>
      </c>
      <c r="G23" s="1"/>
    </row>
    <row r="24" spans="1:10" x14ac:dyDescent="0.25">
      <c r="A24" s="59"/>
      <c r="B24" s="128" t="s">
        <v>49</v>
      </c>
      <c r="C24" s="53"/>
      <c r="D24" s="207"/>
      <c r="E24" s="16">
        <f>Parameters!$C57-(Parameters!M84/100)*((C24/2)-1.5)</f>
        <v>1.21417</v>
      </c>
      <c r="F24" s="178">
        <f t="shared" si="0"/>
        <v>0</v>
      </c>
      <c r="G24" s="1"/>
    </row>
    <row r="25" spans="1:10" x14ac:dyDescent="0.25">
      <c r="A25" s="59"/>
      <c r="B25" s="128" t="s">
        <v>50</v>
      </c>
      <c r="C25" s="53"/>
      <c r="D25" s="207"/>
      <c r="E25" s="16">
        <f>Parameters!$C58-(Parameters!M85/100)*((C25/2)-1.5)</f>
        <v>1.3141700000000001</v>
      </c>
      <c r="F25" s="178">
        <f t="shared" si="0"/>
        <v>0</v>
      </c>
      <c r="G25" s="1"/>
    </row>
    <row r="26" spans="1:10" x14ac:dyDescent="0.25">
      <c r="A26" s="59"/>
      <c r="B26" s="128" t="s">
        <v>51</v>
      </c>
      <c r="C26" s="53"/>
      <c r="D26" s="207"/>
      <c r="E26" s="16">
        <f>Parameters!$C59-(Parameters!M86/100)*((C26/2)-1.5)</f>
        <v>1.424865</v>
      </c>
      <c r="F26" s="178">
        <f t="shared" si="0"/>
        <v>0</v>
      </c>
      <c r="G26" s="1"/>
    </row>
    <row r="27" spans="1:10" x14ac:dyDescent="0.25">
      <c r="A27" s="59"/>
      <c r="B27" s="128" t="s">
        <v>52</v>
      </c>
      <c r="C27" s="53"/>
      <c r="D27" s="207"/>
      <c r="E27" s="16">
        <f>Parameters!$C60-(Parameters!M87/100)*((C27/2)-1.5)</f>
        <v>1.5248649999999999</v>
      </c>
      <c r="F27" s="178">
        <f t="shared" si="0"/>
        <v>0</v>
      </c>
      <c r="G27" s="1"/>
    </row>
    <row r="28" spans="1:10" x14ac:dyDescent="0.25">
      <c r="A28" s="59"/>
      <c r="B28" s="128" t="s">
        <v>53</v>
      </c>
      <c r="C28" s="53"/>
      <c r="D28" s="207"/>
      <c r="E28" s="16">
        <f>Parameters!$C61-(Parameters!M88/100)*((C28/2)-1.5)</f>
        <v>1.6355600000000001</v>
      </c>
      <c r="F28" s="178">
        <f t="shared" si="0"/>
        <v>0</v>
      </c>
      <c r="G28" s="1"/>
    </row>
    <row r="29" spans="1:10" x14ac:dyDescent="0.25">
      <c r="A29" s="59"/>
      <c r="B29" s="128" t="s">
        <v>54</v>
      </c>
      <c r="C29" s="53"/>
      <c r="D29" s="207"/>
      <c r="E29" s="16">
        <f>Parameters!$C62-(Parameters!M89/100)*((C29/2)-1.5)</f>
        <v>1.73556</v>
      </c>
      <c r="F29" s="178">
        <f t="shared" si="0"/>
        <v>0</v>
      </c>
      <c r="G29" s="1"/>
    </row>
    <row r="30" spans="1:10" x14ac:dyDescent="0.25">
      <c r="A30" s="59"/>
      <c r="B30" s="128" t="s">
        <v>55</v>
      </c>
      <c r="C30" s="53"/>
      <c r="D30" s="207"/>
      <c r="E30" s="16">
        <f>Parameters!$C63-(Parameters!M90/100)*((C30/2)-1.5)</f>
        <v>1.8355600000000001</v>
      </c>
      <c r="F30" s="178">
        <f t="shared" si="0"/>
        <v>0</v>
      </c>
      <c r="G30" s="1"/>
    </row>
    <row r="31" spans="1:10" x14ac:dyDescent="0.25">
      <c r="A31" s="59"/>
      <c r="B31" s="128" t="s">
        <v>56</v>
      </c>
      <c r="C31" s="53"/>
      <c r="D31" s="207"/>
      <c r="E31" s="16">
        <f>Parameters!$C64-(Parameters!M91/100)*((C31/2)-1.5)</f>
        <v>1.9569500000000002</v>
      </c>
      <c r="F31" s="178">
        <f t="shared" si="0"/>
        <v>0</v>
      </c>
      <c r="G31" s="1"/>
    </row>
    <row r="32" spans="1:10" x14ac:dyDescent="0.25">
      <c r="A32" s="59"/>
      <c r="B32" s="129" t="s">
        <v>57</v>
      </c>
      <c r="C32" s="53"/>
      <c r="D32" s="207"/>
      <c r="E32" s="74">
        <f>Parameters!$C65-(Parameters!M92/100)*((C32/2)-1.5)</f>
        <v>2.0569500000000001</v>
      </c>
      <c r="F32" s="178">
        <f t="shared" si="0"/>
        <v>0</v>
      </c>
      <c r="G32" s="1"/>
    </row>
    <row r="33" spans="1:10" ht="15.75" thickBot="1" x14ac:dyDescent="0.3">
      <c r="A33" s="59"/>
      <c r="B33" s="131"/>
      <c r="C33" s="132"/>
      <c r="D33" s="132"/>
      <c r="E33" s="210"/>
      <c r="F33" s="133"/>
      <c r="G33" s="1"/>
    </row>
    <row r="34" spans="1:10" ht="15.75" thickBot="1" x14ac:dyDescent="0.3">
      <c r="A34" s="113"/>
      <c r="B34" s="111"/>
      <c r="C34" s="111"/>
      <c r="D34" s="111"/>
      <c r="E34" s="111"/>
      <c r="F34" s="111"/>
      <c r="G34" s="139"/>
    </row>
    <row r="35" spans="1:10" ht="15.75" thickBot="1" x14ac:dyDescent="0.3">
      <c r="A35" s="279" t="s">
        <v>97</v>
      </c>
      <c r="B35" s="280"/>
      <c r="C35" s="280"/>
      <c r="D35" s="280"/>
      <c r="E35" s="280"/>
      <c r="F35" s="280"/>
      <c r="G35" s="281"/>
      <c r="J35" s="118"/>
    </row>
    <row r="36" spans="1:10" ht="6" customHeight="1" x14ac:dyDescent="0.25">
      <c r="A36" s="115"/>
      <c r="B36" s="32"/>
      <c r="C36" s="32"/>
      <c r="D36" s="32"/>
      <c r="E36" s="32"/>
      <c r="F36" s="32"/>
      <c r="G36" s="116"/>
    </row>
    <row r="37" spans="1:10" x14ac:dyDescent="0.25">
      <c r="A37" s="59"/>
      <c r="B37" s="72" t="s">
        <v>98</v>
      </c>
      <c r="C37" s="2"/>
      <c r="D37" s="112" t="s">
        <v>99</v>
      </c>
      <c r="E37" s="2"/>
      <c r="F37" s="72" t="s">
        <v>100</v>
      </c>
      <c r="G37" s="60"/>
    </row>
    <row r="38" spans="1:10" x14ac:dyDescent="0.25">
      <c r="A38" s="59"/>
      <c r="B38" s="25">
        <f>SUM(F14:F32)</f>
        <v>0</v>
      </c>
      <c r="C38" s="2" t="s">
        <v>9</v>
      </c>
      <c r="D38" s="25">
        <f>B38/D7*B5</f>
        <v>0</v>
      </c>
      <c r="E38" s="3" t="s">
        <v>9</v>
      </c>
      <c r="F38" s="25">
        <f>D38+D40</f>
        <v>0</v>
      </c>
      <c r="G38" s="117" t="s">
        <v>9</v>
      </c>
    </row>
    <row r="39" spans="1:10" x14ac:dyDescent="0.25">
      <c r="A39" s="59"/>
      <c r="B39" s="72" t="s">
        <v>2</v>
      </c>
      <c r="C39" s="72"/>
      <c r="D39" s="112" t="s">
        <v>101</v>
      </c>
      <c r="E39" s="2"/>
      <c r="F39" s="110" t="s">
        <v>14</v>
      </c>
      <c r="G39" s="1"/>
      <c r="H39" s="3"/>
    </row>
    <row r="40" spans="1:10" x14ac:dyDescent="0.25">
      <c r="A40" s="59"/>
      <c r="B40" s="25">
        <f>Parameters!N94/D7*100</f>
        <v>0</v>
      </c>
      <c r="C40" s="2" t="s">
        <v>85</v>
      </c>
      <c r="D40" s="25">
        <f>(D38*D5)-D38</f>
        <v>0</v>
      </c>
      <c r="E40" s="2" t="s">
        <v>9</v>
      </c>
      <c r="F40" s="40">
        <f>SUM(D14:D32)</f>
        <v>0</v>
      </c>
      <c r="G40" s="1" t="s">
        <v>12</v>
      </c>
    </row>
    <row r="41" spans="1:10" x14ac:dyDescent="0.25">
      <c r="A41" s="113"/>
      <c r="B41" s="14"/>
      <c r="C41" s="14"/>
      <c r="D41" s="14"/>
      <c r="E41" s="14"/>
      <c r="F41" s="14"/>
      <c r="G41" s="114"/>
    </row>
    <row r="42" spans="1:10" ht="30" customHeight="1" thickBot="1" x14ac:dyDescent="0.3">
      <c r="A42" s="292"/>
      <c r="B42" s="293"/>
      <c r="C42" s="293"/>
      <c r="D42" s="293"/>
      <c r="E42" s="293"/>
      <c r="F42" s="293"/>
      <c r="G42" s="294"/>
    </row>
  </sheetData>
  <sheetProtection password="E0F0" sheet="1" objects="1" scenarios="1"/>
  <mergeCells count="5">
    <mergeCell ref="A42:G42"/>
    <mergeCell ref="A35:G35"/>
    <mergeCell ref="A2:G2"/>
    <mergeCell ref="A1:G1"/>
    <mergeCell ref="A11:G1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Parameters!$C$25:$E$25</xm:f>
          </x14:formula1>
          <xm:sqref>F7</xm:sqref>
        </x14:dataValidation>
        <x14:dataValidation type="list" allowBlank="1" showInputMessage="1" showErrorMessage="1">
          <x14:formula1>
            <xm:f>Parameters!$B$26:$B$41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V143"/>
  <sheetViews>
    <sheetView zoomScale="80" zoomScaleNormal="80" workbookViewId="0">
      <selection activeCell="B1" sqref="B1:I1"/>
    </sheetView>
  </sheetViews>
  <sheetFormatPr defaultColWidth="15.7109375" defaultRowHeight="15" x14ac:dyDescent="0.25"/>
  <cols>
    <col min="3" max="10" width="15.7109375" customWidth="1"/>
  </cols>
  <sheetData>
    <row r="1" spans="2:9" ht="23.25" x14ac:dyDescent="0.35">
      <c r="B1" s="298" t="s">
        <v>25</v>
      </c>
      <c r="C1" s="298"/>
      <c r="D1" s="298"/>
      <c r="E1" s="298"/>
      <c r="F1" s="298"/>
      <c r="G1" s="298"/>
      <c r="H1" s="298"/>
      <c r="I1" s="298"/>
    </row>
    <row r="2" spans="2:9" ht="15.75" thickBot="1" x14ac:dyDescent="0.3">
      <c r="B2" s="12"/>
      <c r="C2" s="7"/>
      <c r="G2" s="50"/>
    </row>
    <row r="3" spans="2:9" ht="15" customHeight="1" thickBot="1" x14ac:dyDescent="0.3">
      <c r="B3" s="301" t="s">
        <v>111</v>
      </c>
      <c r="C3" s="302"/>
      <c r="D3" s="302"/>
      <c r="E3" s="303"/>
      <c r="F3" s="4"/>
      <c r="G3" s="191"/>
    </row>
    <row r="4" spans="2:9" x14ac:dyDescent="0.25">
      <c r="B4" s="188" t="s">
        <v>0</v>
      </c>
      <c r="C4" s="37" t="s">
        <v>10</v>
      </c>
      <c r="D4" s="69" t="s">
        <v>37</v>
      </c>
      <c r="E4" s="65" t="s">
        <v>38</v>
      </c>
    </row>
    <row r="5" spans="2:9" x14ac:dyDescent="0.25">
      <c r="B5" s="189" t="s">
        <v>8</v>
      </c>
      <c r="C5" s="10" t="s">
        <v>6</v>
      </c>
      <c r="D5" s="22">
        <f>'Concentrische proefvlakken'!E30</f>
        <v>0</v>
      </c>
      <c r="E5" s="66">
        <f>IF(D5&gt;0,1,0)</f>
        <v>0</v>
      </c>
    </row>
    <row r="6" spans="2:9" x14ac:dyDescent="0.25">
      <c r="B6" s="190">
        <v>5</v>
      </c>
      <c r="C6" s="19">
        <f>(PI()*B6*B6)/100</f>
        <v>0.78539816339744828</v>
      </c>
      <c r="D6" s="23">
        <f>'Concentrische proefvlakken'!K30</f>
        <v>0</v>
      </c>
      <c r="E6" s="66">
        <f t="shared" ref="E6:E12" si="0">IF(D6&gt;0,1,0)</f>
        <v>0</v>
      </c>
    </row>
    <row r="7" spans="2:9" x14ac:dyDescent="0.25">
      <c r="B7" s="190">
        <v>7</v>
      </c>
      <c r="C7" s="19">
        <f>(PI()*B7*B7)/100</f>
        <v>1.5393804002589986</v>
      </c>
      <c r="D7" s="23">
        <f>'Concentrische proefvlakken'!Q30</f>
        <v>0</v>
      </c>
      <c r="E7" s="66">
        <f t="shared" si="0"/>
        <v>0</v>
      </c>
    </row>
    <row r="8" spans="2:9" x14ac:dyDescent="0.25">
      <c r="B8" s="190">
        <v>10</v>
      </c>
      <c r="C8" s="19">
        <f>(PI()*B8*B8)/100</f>
        <v>3.1415926535897931</v>
      </c>
      <c r="D8" s="23">
        <f>'Concentrische proefvlakken'!W30</f>
        <v>0</v>
      </c>
      <c r="E8" s="66">
        <f>IF(D8&gt;0,1,0)</f>
        <v>0</v>
      </c>
    </row>
    <row r="9" spans="2:9" x14ac:dyDescent="0.25">
      <c r="B9" s="190">
        <v>12</v>
      </c>
      <c r="C9" s="19">
        <f>(PI()*B9*B9)/100</f>
        <v>4.5238934211693023</v>
      </c>
      <c r="D9" s="23">
        <f>'Concentrische proefvlakken'!E58</f>
        <v>0</v>
      </c>
      <c r="E9" s="66">
        <f t="shared" si="0"/>
        <v>0</v>
      </c>
      <c r="G9" s="3"/>
    </row>
    <row r="10" spans="2:9" x14ac:dyDescent="0.25">
      <c r="B10" s="190">
        <v>15</v>
      </c>
      <c r="C10" s="19">
        <f>(PI()*B10*B10)/100</f>
        <v>7.0685834705770345</v>
      </c>
      <c r="D10" s="23">
        <f>'Concentrische proefvlakken'!K58</f>
        <v>0</v>
      </c>
      <c r="E10" s="66">
        <f t="shared" si="0"/>
        <v>0</v>
      </c>
    </row>
    <row r="11" spans="2:9" x14ac:dyDescent="0.25">
      <c r="B11" s="108"/>
      <c r="C11" s="60"/>
      <c r="D11" s="23">
        <f>'Concentrische proefvlakken'!Q58</f>
        <v>0</v>
      </c>
      <c r="E11" s="66">
        <f t="shared" si="0"/>
        <v>0</v>
      </c>
    </row>
    <row r="12" spans="2:9" x14ac:dyDescent="0.25">
      <c r="B12" s="108"/>
      <c r="C12" s="60"/>
      <c r="D12" s="23">
        <f>'Concentrische proefvlakken'!W58</f>
        <v>0</v>
      </c>
      <c r="E12" s="66">
        <f t="shared" si="0"/>
        <v>0</v>
      </c>
    </row>
    <row r="13" spans="2:9" ht="15.75" thickBot="1" x14ac:dyDescent="0.3">
      <c r="B13" s="71"/>
      <c r="C13" s="8"/>
      <c r="D13" s="24"/>
      <c r="E13" s="67"/>
    </row>
    <row r="14" spans="2:9" x14ac:dyDescent="0.25">
      <c r="B14" s="3"/>
      <c r="C14" s="3"/>
      <c r="D14" s="3"/>
      <c r="E14" s="209"/>
    </row>
    <row r="15" spans="2:9" ht="15.75" thickBot="1" x14ac:dyDescent="0.3">
      <c r="B15" s="11"/>
    </row>
    <row r="16" spans="2:9" ht="15.75" thickBot="1" x14ac:dyDescent="0.3">
      <c r="B16" s="301" t="s">
        <v>112</v>
      </c>
      <c r="C16" s="302"/>
      <c r="D16" s="302"/>
      <c r="E16" s="303"/>
    </row>
    <row r="17" spans="2:10" x14ac:dyDescent="0.25">
      <c r="B17" s="41">
        <v>1</v>
      </c>
      <c r="C17" s="47">
        <f>'Concentrische proefvlakken'!E33</f>
        <v>0</v>
      </c>
      <c r="D17" s="43">
        <v>5</v>
      </c>
      <c r="E17" s="35">
        <f>'Concentrische proefvlakken'!E61</f>
        <v>0</v>
      </c>
    </row>
    <row r="18" spans="2:10" x14ac:dyDescent="0.25">
      <c r="B18" s="42">
        <v>2</v>
      </c>
      <c r="C18" s="48">
        <f>'Concentrische proefvlakken'!K33</f>
        <v>0</v>
      </c>
      <c r="D18" s="44">
        <v>6</v>
      </c>
      <c r="E18" s="36">
        <f>'Concentrische proefvlakken'!K61</f>
        <v>0</v>
      </c>
    </row>
    <row r="19" spans="2:10" x14ac:dyDescent="0.25">
      <c r="B19" s="42">
        <v>3</v>
      </c>
      <c r="C19" s="48">
        <f>'Concentrische proefvlakken'!Q33</f>
        <v>0</v>
      </c>
      <c r="D19" s="45">
        <v>7</v>
      </c>
      <c r="E19" s="36">
        <f>'Concentrische proefvlakken'!Q61</f>
        <v>0</v>
      </c>
    </row>
    <row r="20" spans="2:10" x14ac:dyDescent="0.25">
      <c r="B20" s="42">
        <v>4</v>
      </c>
      <c r="C20" s="48">
        <f>'Concentrische proefvlakken'!W33</f>
        <v>0</v>
      </c>
      <c r="D20" s="45">
        <v>8</v>
      </c>
      <c r="E20" s="36">
        <f>'Concentrische proefvlakken'!W61</f>
        <v>0</v>
      </c>
    </row>
    <row r="21" spans="2:10" ht="15.75" thickBot="1" x14ac:dyDescent="0.3">
      <c r="B21" s="24"/>
      <c r="C21" s="49"/>
      <c r="D21" s="46"/>
      <c r="E21" s="8"/>
      <c r="G21" s="3"/>
    </row>
    <row r="22" spans="2:10" x14ac:dyDescent="0.25">
      <c r="B22" s="3"/>
      <c r="C22" s="3"/>
      <c r="D22" s="3"/>
      <c r="E22" s="3"/>
      <c r="G22" s="3"/>
    </row>
    <row r="23" spans="2:10" ht="15.75" customHeight="1" thickBot="1" x14ac:dyDescent="0.35">
      <c r="B23" s="82"/>
      <c r="C23" s="5"/>
      <c r="D23" s="5"/>
      <c r="E23" s="5"/>
      <c r="F23" s="83"/>
      <c r="G23" s="84"/>
    </row>
    <row r="24" spans="2:10" ht="15.75" thickBot="1" x14ac:dyDescent="0.3">
      <c r="B24" s="309" t="s">
        <v>113</v>
      </c>
      <c r="C24" s="310"/>
      <c r="D24" s="310"/>
      <c r="E24" s="310"/>
      <c r="F24" s="311"/>
    </row>
    <row r="25" spans="2:10" x14ac:dyDescent="0.25">
      <c r="B25" s="193"/>
      <c r="C25" s="194" t="s">
        <v>107</v>
      </c>
      <c r="D25" s="195" t="s">
        <v>28</v>
      </c>
      <c r="E25" s="195" t="s">
        <v>108</v>
      </c>
      <c r="F25" s="196"/>
    </row>
    <row r="26" spans="2:10" x14ac:dyDescent="0.25">
      <c r="B26" s="85" t="s">
        <v>20</v>
      </c>
      <c r="C26" s="86">
        <v>1.1599999999999999</v>
      </c>
      <c r="D26" s="87">
        <v>1.34</v>
      </c>
      <c r="E26" s="87">
        <v>2.04</v>
      </c>
      <c r="F26" s="88" t="s">
        <v>18</v>
      </c>
      <c r="J26" s="3"/>
    </row>
    <row r="27" spans="2:10" x14ac:dyDescent="0.25">
      <c r="B27" s="89" t="s">
        <v>80</v>
      </c>
      <c r="C27" s="86">
        <v>1.24</v>
      </c>
      <c r="D27" s="87">
        <v>1.32</v>
      </c>
      <c r="E27" s="90">
        <v>1.39</v>
      </c>
      <c r="F27" s="91">
        <f>MATCH('Concentrische proefvlakken'!G5,Parameters!B25:B41,0)</f>
        <v>2</v>
      </c>
    </row>
    <row r="28" spans="2:10" x14ac:dyDescent="0.25">
      <c r="B28" s="89" t="s">
        <v>83</v>
      </c>
      <c r="C28" s="86">
        <v>1.24</v>
      </c>
      <c r="D28" s="87">
        <v>1.32</v>
      </c>
      <c r="E28" s="90">
        <v>1.39</v>
      </c>
      <c r="F28" s="91">
        <f>MATCH('Concentrische proefvlakken'!I5,Parameters!B25:E25,0)</f>
        <v>2</v>
      </c>
    </row>
    <row r="29" spans="2:10" x14ac:dyDescent="0.25">
      <c r="B29" s="89" t="s">
        <v>21</v>
      </c>
      <c r="C29" s="86">
        <v>1.24</v>
      </c>
      <c r="D29" s="90">
        <v>1.32</v>
      </c>
      <c r="E29" s="90">
        <v>1.4</v>
      </c>
      <c r="F29" s="91"/>
    </row>
    <row r="30" spans="2:10" x14ac:dyDescent="0.25">
      <c r="B30" s="89" t="s">
        <v>71</v>
      </c>
      <c r="C30" s="86">
        <v>1.24</v>
      </c>
      <c r="D30" s="90">
        <v>1.32</v>
      </c>
      <c r="E30" s="90">
        <v>1.4</v>
      </c>
      <c r="F30" s="20"/>
      <c r="H30" s="3"/>
    </row>
    <row r="31" spans="2:10" x14ac:dyDescent="0.25">
      <c r="B31" s="89" t="s">
        <v>81</v>
      </c>
      <c r="C31" s="86">
        <v>1.24</v>
      </c>
      <c r="D31" s="90">
        <v>1.32</v>
      </c>
      <c r="E31" s="90">
        <v>1.4</v>
      </c>
      <c r="F31" s="20"/>
    </row>
    <row r="32" spans="2:10" x14ac:dyDescent="0.25">
      <c r="B32" s="89" t="s">
        <v>72</v>
      </c>
      <c r="C32" s="86">
        <v>1.24</v>
      </c>
      <c r="D32" s="90">
        <v>1.32</v>
      </c>
      <c r="E32" s="90">
        <v>1.4</v>
      </c>
      <c r="F32" s="20"/>
    </row>
    <row r="33" spans="2:17" x14ac:dyDescent="0.25">
      <c r="B33" s="92" t="s">
        <v>73</v>
      </c>
      <c r="C33" s="86">
        <v>1.24</v>
      </c>
      <c r="D33" s="90">
        <v>1.32</v>
      </c>
      <c r="E33" s="90">
        <v>1.4</v>
      </c>
      <c r="F33" s="119"/>
      <c r="H33" s="3"/>
    </row>
    <row r="34" spans="2:17" x14ac:dyDescent="0.25">
      <c r="B34" s="92" t="s">
        <v>74</v>
      </c>
      <c r="C34" s="86">
        <v>1.24</v>
      </c>
      <c r="D34" s="90">
        <v>1.32</v>
      </c>
      <c r="E34" s="90">
        <v>1.4</v>
      </c>
      <c r="F34" s="94"/>
    </row>
    <row r="35" spans="2:17" x14ac:dyDescent="0.25">
      <c r="B35" s="92" t="s">
        <v>82</v>
      </c>
      <c r="C35" s="86">
        <v>1.24</v>
      </c>
      <c r="D35" s="87">
        <v>1.32</v>
      </c>
      <c r="E35" s="95">
        <v>1.4</v>
      </c>
      <c r="F35" s="88" t="s">
        <v>18</v>
      </c>
    </row>
    <row r="36" spans="2:17" x14ac:dyDescent="0.25">
      <c r="B36" s="89" t="s">
        <v>19</v>
      </c>
      <c r="C36" s="96">
        <v>1.1399999999999999</v>
      </c>
      <c r="D36" s="97">
        <v>1.32</v>
      </c>
      <c r="E36" s="97">
        <v>1.4</v>
      </c>
      <c r="F36" s="91">
        <f>MATCH('Strookvormig proefvlak '!F5,Parameters!B25:B41,0)</f>
        <v>6</v>
      </c>
    </row>
    <row r="37" spans="2:17" x14ac:dyDescent="0.25">
      <c r="B37" s="89" t="s">
        <v>79</v>
      </c>
      <c r="C37" s="96">
        <v>1.1399999999999999</v>
      </c>
      <c r="D37" s="97">
        <v>1.32</v>
      </c>
      <c r="E37" s="97">
        <v>1.4</v>
      </c>
      <c r="F37" s="91">
        <f>MATCH('Strookvormig proefvlak '!F7,Parameters!B25:E25,0)</f>
        <v>3</v>
      </c>
    </row>
    <row r="38" spans="2:17" x14ac:dyDescent="0.25">
      <c r="B38" s="89" t="s">
        <v>75</v>
      </c>
      <c r="C38" s="86">
        <v>1.1399999999999999</v>
      </c>
      <c r="D38" s="87">
        <v>1.3</v>
      </c>
      <c r="E38" s="87">
        <v>1.36</v>
      </c>
      <c r="F38" s="98"/>
    </row>
    <row r="39" spans="2:17" x14ac:dyDescent="0.25">
      <c r="B39" s="89" t="s">
        <v>76</v>
      </c>
      <c r="C39" s="81">
        <v>1.1399999999999999</v>
      </c>
      <c r="D39" s="48">
        <v>1.29</v>
      </c>
      <c r="E39" s="81">
        <v>1.71</v>
      </c>
      <c r="F39" s="98"/>
    </row>
    <row r="40" spans="2:17" x14ac:dyDescent="0.25">
      <c r="B40" s="89" t="s">
        <v>77</v>
      </c>
      <c r="C40" s="86">
        <v>1.18</v>
      </c>
      <c r="D40" s="87">
        <v>1.28</v>
      </c>
      <c r="E40" s="87">
        <v>2.2400000000000002</v>
      </c>
      <c r="F40" s="93"/>
    </row>
    <row r="41" spans="2:17" x14ac:dyDescent="0.25">
      <c r="B41" s="89" t="s">
        <v>78</v>
      </c>
      <c r="C41" s="86">
        <v>1.1399999999999999</v>
      </c>
      <c r="D41" s="87">
        <v>1.33</v>
      </c>
      <c r="E41" s="87">
        <v>1.71</v>
      </c>
      <c r="F41" s="98"/>
    </row>
    <row r="42" spans="2:17" ht="15.75" thickBot="1" x14ac:dyDescent="0.3">
      <c r="B42" s="6"/>
      <c r="C42" s="99"/>
      <c r="D42" s="99"/>
      <c r="E42" s="99"/>
      <c r="F42" s="21"/>
    </row>
    <row r="43" spans="2:17" x14ac:dyDescent="0.25">
      <c r="B43" s="3"/>
      <c r="C43" s="3"/>
      <c r="D43" s="3"/>
      <c r="E43" s="3"/>
      <c r="F43" s="3"/>
    </row>
    <row r="44" spans="2:17" ht="15.75" thickBot="1" x14ac:dyDescent="0.3">
      <c r="C44" s="3"/>
      <c r="D44" s="3"/>
      <c r="E44" s="3"/>
      <c r="F44" s="3"/>
      <c r="G44" s="3"/>
    </row>
    <row r="45" spans="2:17" ht="15.75" thickBot="1" x14ac:dyDescent="0.3">
      <c r="B45" s="231" t="s">
        <v>114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3"/>
    </row>
    <row r="46" spans="2:17" ht="15.75" thickBot="1" x14ac:dyDescent="0.3">
      <c r="B46" s="162" t="s">
        <v>109</v>
      </c>
      <c r="C46" s="299" t="s">
        <v>87</v>
      </c>
      <c r="D46" s="300"/>
      <c r="E46" s="102" t="s">
        <v>63</v>
      </c>
      <c r="F46" s="103" t="s">
        <v>64</v>
      </c>
      <c r="G46" s="103" t="s">
        <v>65</v>
      </c>
      <c r="H46" s="103" t="s">
        <v>66</v>
      </c>
      <c r="I46" s="103" t="s">
        <v>67</v>
      </c>
      <c r="J46" s="103" t="s">
        <v>68</v>
      </c>
      <c r="K46" s="103" t="s">
        <v>69</v>
      </c>
      <c r="L46" s="273" t="s">
        <v>70</v>
      </c>
    </row>
    <row r="47" spans="2:17" x14ac:dyDescent="0.25">
      <c r="B47" s="201">
        <f>(C47/PI())</f>
        <v>4.7746482927568598E-2</v>
      </c>
      <c r="C47" s="51">
        <f>15/100</f>
        <v>0.15</v>
      </c>
      <c r="D47" s="263" t="s">
        <v>124</v>
      </c>
      <c r="E47" s="166">
        <f>C47*'Concentrische proefvlakken'!C10</f>
        <v>0</v>
      </c>
      <c r="F47" s="167">
        <f>C47*'Concentrische proefvlakken'!I10</f>
        <v>0</v>
      </c>
      <c r="G47" s="167">
        <f>C47*'Concentrische proefvlakken'!O10</f>
        <v>0</v>
      </c>
      <c r="H47" s="167">
        <f>C47*'Concentrische proefvlakken'!U10</f>
        <v>0</v>
      </c>
      <c r="I47" s="167">
        <f>C47*'Concentrische proefvlakken'!C38</f>
        <v>0</v>
      </c>
      <c r="J47" s="167">
        <f>C47*'Concentrische proefvlakken'!I38</f>
        <v>0</v>
      </c>
      <c r="K47" s="167">
        <f>C47*'Concentrische proefvlakken'!O38</f>
        <v>0</v>
      </c>
      <c r="L47" s="274">
        <f>C47*'Concentrische proefvlakken'!U38</f>
        <v>0</v>
      </c>
      <c r="N47" s="3"/>
      <c r="O47" s="272"/>
      <c r="P47" s="3"/>
      <c r="Q47" s="3"/>
    </row>
    <row r="48" spans="2:17" x14ac:dyDescent="0.25">
      <c r="B48" s="200">
        <f t="shared" ref="B48:B65" si="1">(C48/PI())</f>
        <v>7.9577471545947673E-2</v>
      </c>
      <c r="C48" s="51">
        <f>25/100</f>
        <v>0.25</v>
      </c>
      <c r="D48" s="128" t="s">
        <v>40</v>
      </c>
      <c r="E48" s="168">
        <f>C48*'Concentrische proefvlakken'!C11</f>
        <v>0</v>
      </c>
      <c r="F48" s="163">
        <f>C48*'Concentrische proefvlakken'!I11</f>
        <v>0</v>
      </c>
      <c r="G48" s="163">
        <f>C48*'Concentrische proefvlakken'!O11</f>
        <v>0</v>
      </c>
      <c r="H48" s="163">
        <f>C48*'Concentrische proefvlakken'!U11</f>
        <v>0</v>
      </c>
      <c r="I48" s="163">
        <f>C48*'Concentrische proefvlakken'!C39</f>
        <v>0</v>
      </c>
      <c r="J48" s="163">
        <f>C48*'Concentrische proefvlakken'!I39</f>
        <v>0</v>
      </c>
      <c r="K48" s="163">
        <f>C48*'Concentrische proefvlakken'!O39</f>
        <v>0</v>
      </c>
      <c r="L48" s="237">
        <f>C48*'Concentrische proefvlakken'!U39</f>
        <v>0</v>
      </c>
      <c r="P48" s="3"/>
    </row>
    <row r="49" spans="2:19" x14ac:dyDescent="0.25">
      <c r="B49" s="200">
        <f t="shared" si="1"/>
        <v>0.11140846016432673</v>
      </c>
      <c r="C49" s="51">
        <f>35/100</f>
        <v>0.35</v>
      </c>
      <c r="D49" s="128" t="s">
        <v>41</v>
      </c>
      <c r="E49" s="168">
        <f>C49*'Concentrische proefvlakken'!C12</f>
        <v>0</v>
      </c>
      <c r="F49" s="163">
        <f>C49*'Concentrische proefvlakken'!I12</f>
        <v>0</v>
      </c>
      <c r="G49" s="163">
        <f>C49*'Concentrische proefvlakken'!O12</f>
        <v>0</v>
      </c>
      <c r="H49" s="163">
        <f>C49*'Concentrische proefvlakken'!U12</f>
        <v>0</v>
      </c>
      <c r="I49" s="163">
        <f>C49*'Concentrische proefvlakken'!C40</f>
        <v>0</v>
      </c>
      <c r="J49" s="163">
        <f>C49*'Concentrische proefvlakken'!I40</f>
        <v>0</v>
      </c>
      <c r="K49" s="163">
        <f>C49*'Concentrische proefvlakken'!O40</f>
        <v>0</v>
      </c>
      <c r="L49" s="237">
        <f>C49*'Concentrische proefvlakken'!U40</f>
        <v>0</v>
      </c>
      <c r="P49" s="3"/>
    </row>
    <row r="50" spans="2:19" x14ac:dyDescent="0.25">
      <c r="B50" s="200">
        <f t="shared" si="1"/>
        <v>0.14323944878270581</v>
      </c>
      <c r="C50" s="51">
        <f>45/100</f>
        <v>0.45</v>
      </c>
      <c r="D50" s="128" t="s">
        <v>42</v>
      </c>
      <c r="E50" s="168">
        <f>C50*'Concentrische proefvlakken'!C13</f>
        <v>0</v>
      </c>
      <c r="F50" s="163">
        <f>C50*'Concentrische proefvlakken'!I13</f>
        <v>0</v>
      </c>
      <c r="G50" s="163">
        <f>C50*'Concentrische proefvlakken'!O13</f>
        <v>0</v>
      </c>
      <c r="H50" s="163">
        <f>C50*'Concentrische proefvlakken'!U13</f>
        <v>0</v>
      </c>
      <c r="I50" s="163">
        <f>C50*'Concentrische proefvlakken'!C41</f>
        <v>0</v>
      </c>
      <c r="J50" s="163">
        <f>C50*'Concentrische proefvlakken'!I41</f>
        <v>0</v>
      </c>
      <c r="K50" s="163">
        <f>C50*'Concentrische proefvlakken'!O41</f>
        <v>0</v>
      </c>
      <c r="L50" s="237">
        <f>C50*'Concentrische proefvlakken'!U41</f>
        <v>0</v>
      </c>
      <c r="P50" s="3"/>
    </row>
    <row r="51" spans="2:19" x14ac:dyDescent="0.25">
      <c r="B51" s="200">
        <f t="shared" si="1"/>
        <v>0.17507043740108488</v>
      </c>
      <c r="C51" s="51">
        <f>55/100</f>
        <v>0.55000000000000004</v>
      </c>
      <c r="D51" s="128" t="s">
        <v>43</v>
      </c>
      <c r="E51" s="168">
        <f>C51*'Concentrische proefvlakken'!C14</f>
        <v>0</v>
      </c>
      <c r="F51" s="163">
        <f>C51*'Concentrische proefvlakken'!I14</f>
        <v>0</v>
      </c>
      <c r="G51" s="163">
        <f>C51*'Concentrische proefvlakken'!O14</f>
        <v>0</v>
      </c>
      <c r="H51" s="163">
        <f>C51*'Concentrische proefvlakken'!U14</f>
        <v>0</v>
      </c>
      <c r="I51" s="163">
        <f>C51*'Concentrische proefvlakken'!C42</f>
        <v>0</v>
      </c>
      <c r="J51" s="163">
        <f>C51*'Concentrische proefvlakken'!I42</f>
        <v>0</v>
      </c>
      <c r="K51" s="163">
        <f>C51*'Concentrische proefvlakken'!O42</f>
        <v>0</v>
      </c>
      <c r="L51" s="237">
        <f>C51*'Concentrische proefvlakken'!U42</f>
        <v>0</v>
      </c>
      <c r="P51" s="3"/>
    </row>
    <row r="52" spans="2:19" x14ac:dyDescent="0.25">
      <c r="B52" s="200">
        <f t="shared" si="1"/>
        <v>0.20690142601946396</v>
      </c>
      <c r="C52" s="51">
        <f>65/100</f>
        <v>0.65</v>
      </c>
      <c r="D52" s="128" t="s">
        <v>44</v>
      </c>
      <c r="E52" s="168">
        <f>C52*'Concentrische proefvlakken'!C15</f>
        <v>0</v>
      </c>
      <c r="F52" s="163">
        <f>C52*'Concentrische proefvlakken'!I15</f>
        <v>0</v>
      </c>
      <c r="G52" s="163">
        <f>C52*'Concentrische proefvlakken'!O15</f>
        <v>0</v>
      </c>
      <c r="H52" s="163">
        <f>C52*'Concentrische proefvlakken'!U15</f>
        <v>0</v>
      </c>
      <c r="I52" s="163">
        <f>C52*'Concentrische proefvlakken'!C43</f>
        <v>0</v>
      </c>
      <c r="J52" s="163">
        <f>C52*'Concentrische proefvlakken'!I43</f>
        <v>0</v>
      </c>
      <c r="K52" s="163">
        <f>C52*'Concentrische proefvlakken'!O43</f>
        <v>0</v>
      </c>
      <c r="L52" s="237">
        <f>C52*'Concentrische proefvlakken'!U43</f>
        <v>0</v>
      </c>
      <c r="P52" s="3"/>
    </row>
    <row r="53" spans="2:19" x14ac:dyDescent="0.25">
      <c r="B53" s="200">
        <f t="shared" si="1"/>
        <v>0.238732414637843</v>
      </c>
      <c r="C53" s="51">
        <f>75/100</f>
        <v>0.75</v>
      </c>
      <c r="D53" s="128" t="s">
        <v>45</v>
      </c>
      <c r="E53" s="168">
        <f>C53*'Concentrische proefvlakken'!C16</f>
        <v>0</v>
      </c>
      <c r="F53" s="163">
        <f>C53*'Concentrische proefvlakken'!I16</f>
        <v>0</v>
      </c>
      <c r="G53" s="163">
        <f>C53*'Concentrische proefvlakken'!O16</f>
        <v>0</v>
      </c>
      <c r="H53" s="163">
        <f>C53*'Concentrische proefvlakken'!U16</f>
        <v>0</v>
      </c>
      <c r="I53" s="163">
        <f>C53*'Concentrische proefvlakken'!C44</f>
        <v>0</v>
      </c>
      <c r="J53" s="163">
        <f>C53*'Concentrische proefvlakken'!I44</f>
        <v>0</v>
      </c>
      <c r="K53" s="163">
        <f>C53*'Concentrische proefvlakken'!O44</f>
        <v>0</v>
      </c>
      <c r="L53" s="237">
        <f>C53*'Concentrische proefvlakken'!U44</f>
        <v>0</v>
      </c>
      <c r="P53" s="3"/>
    </row>
    <row r="54" spans="2:19" x14ac:dyDescent="0.25">
      <c r="B54" s="200">
        <f t="shared" si="1"/>
        <v>0.27056340325622208</v>
      </c>
      <c r="C54" s="51">
        <f>85/100</f>
        <v>0.85</v>
      </c>
      <c r="D54" s="128" t="s">
        <v>46</v>
      </c>
      <c r="E54" s="168">
        <f>C54*'Concentrische proefvlakken'!C17</f>
        <v>0</v>
      </c>
      <c r="F54" s="163">
        <f>C54*'Concentrische proefvlakken'!I17</f>
        <v>0</v>
      </c>
      <c r="G54" s="163">
        <f>C54*'Concentrische proefvlakken'!O17</f>
        <v>0</v>
      </c>
      <c r="H54" s="163">
        <f>C54*'Concentrische proefvlakken'!U17</f>
        <v>0</v>
      </c>
      <c r="I54" s="163">
        <f>C54*'Concentrische proefvlakken'!C45</f>
        <v>0</v>
      </c>
      <c r="J54" s="163">
        <f>C54*'Concentrische proefvlakken'!I45</f>
        <v>0</v>
      </c>
      <c r="K54" s="163">
        <f>C54*'Concentrische proefvlakken'!O45</f>
        <v>0</v>
      </c>
      <c r="L54" s="237">
        <f>C54*'Concentrische proefvlakken'!U45</f>
        <v>0</v>
      </c>
      <c r="P54" s="3"/>
    </row>
    <row r="55" spans="2:19" x14ac:dyDescent="0.25">
      <c r="B55" s="200">
        <f t="shared" si="1"/>
        <v>0.30239439187460115</v>
      </c>
      <c r="C55" s="51">
        <f>95/100</f>
        <v>0.95</v>
      </c>
      <c r="D55" s="128" t="s">
        <v>47</v>
      </c>
      <c r="E55" s="168">
        <f>C55*'Concentrische proefvlakken'!C18</f>
        <v>0</v>
      </c>
      <c r="F55" s="163">
        <f>C55*'Concentrische proefvlakken'!I18</f>
        <v>0</v>
      </c>
      <c r="G55" s="163">
        <f>C55*'Concentrische proefvlakken'!O18</f>
        <v>0</v>
      </c>
      <c r="H55" s="163">
        <f>C55*'Concentrische proefvlakken'!U18</f>
        <v>0</v>
      </c>
      <c r="I55" s="163">
        <f>C55*'Concentrische proefvlakken'!C46</f>
        <v>0</v>
      </c>
      <c r="J55" s="163">
        <f>C55*'Concentrische proefvlakken'!I46</f>
        <v>0</v>
      </c>
      <c r="K55" s="163">
        <f>C55*'Concentrische proefvlakken'!O46</f>
        <v>0</v>
      </c>
      <c r="L55" s="237">
        <f>C55*'Concentrische proefvlakken'!U46</f>
        <v>0</v>
      </c>
      <c r="P55" s="3"/>
    </row>
    <row r="56" spans="2:19" x14ac:dyDescent="0.25">
      <c r="B56" s="200">
        <f t="shared" si="1"/>
        <v>0.33422538049298023</v>
      </c>
      <c r="C56" s="51">
        <f>105/100</f>
        <v>1.05</v>
      </c>
      <c r="D56" s="128" t="s">
        <v>48</v>
      </c>
      <c r="E56" s="168">
        <f>C56*'Concentrische proefvlakken'!C19</f>
        <v>0</v>
      </c>
      <c r="F56" s="163">
        <f>C56*'Concentrische proefvlakken'!I19</f>
        <v>0</v>
      </c>
      <c r="G56" s="163">
        <f>C56*'Concentrische proefvlakken'!O19</f>
        <v>0</v>
      </c>
      <c r="H56" s="163">
        <f>C56*'Concentrische proefvlakken'!U19</f>
        <v>0</v>
      </c>
      <c r="I56" s="163">
        <f>C56*'Concentrische proefvlakken'!C47</f>
        <v>0</v>
      </c>
      <c r="J56" s="163">
        <f>C56*'Concentrische proefvlakken'!I47</f>
        <v>0</v>
      </c>
      <c r="K56" s="163">
        <f>C56*'Concentrische proefvlakken'!O47</f>
        <v>0</v>
      </c>
      <c r="L56" s="237">
        <f>C56*'Concentrische proefvlakken'!U47</f>
        <v>0</v>
      </c>
      <c r="P56" s="3"/>
    </row>
    <row r="57" spans="2:19" x14ac:dyDescent="0.25">
      <c r="B57" s="200">
        <f t="shared" si="1"/>
        <v>0.36605636911135925</v>
      </c>
      <c r="C57" s="51">
        <f>115/100</f>
        <v>1.1499999999999999</v>
      </c>
      <c r="D57" s="128" t="s">
        <v>49</v>
      </c>
      <c r="E57" s="168">
        <f>C57*'Concentrische proefvlakken'!C20</f>
        <v>0</v>
      </c>
      <c r="F57" s="163">
        <f>C57*'Concentrische proefvlakken'!I20</f>
        <v>0</v>
      </c>
      <c r="G57" s="163">
        <f>C57*'Concentrische proefvlakken'!O20</f>
        <v>0</v>
      </c>
      <c r="H57" s="163">
        <f>C57*'Concentrische proefvlakken'!U20</f>
        <v>0</v>
      </c>
      <c r="I57" s="163">
        <f>C57*'Concentrische proefvlakken'!C48</f>
        <v>0</v>
      </c>
      <c r="J57" s="163">
        <f>C57*'Concentrische proefvlakken'!I48</f>
        <v>0</v>
      </c>
      <c r="K57" s="163">
        <f>C57*'Concentrische proefvlakken'!O48</f>
        <v>0</v>
      </c>
      <c r="L57" s="237">
        <f>C57*'Concentrische proefvlakken'!U48</f>
        <v>0</v>
      </c>
      <c r="P57" s="3"/>
    </row>
    <row r="58" spans="2:19" x14ac:dyDescent="0.25">
      <c r="B58" s="200">
        <f t="shared" si="1"/>
        <v>0.39788735772973838</v>
      </c>
      <c r="C58" s="51">
        <f>125/100</f>
        <v>1.25</v>
      </c>
      <c r="D58" s="128" t="s">
        <v>50</v>
      </c>
      <c r="E58" s="168">
        <f>C58*'Concentrische proefvlakken'!C21</f>
        <v>0</v>
      </c>
      <c r="F58" s="163">
        <f>C58*'Concentrische proefvlakken'!I21</f>
        <v>0</v>
      </c>
      <c r="G58" s="163">
        <f>C58*'Concentrische proefvlakken'!O21</f>
        <v>0</v>
      </c>
      <c r="H58" s="163">
        <f>C58*'Concentrische proefvlakken'!U21</f>
        <v>0</v>
      </c>
      <c r="I58" s="163">
        <f>C58*'Concentrische proefvlakken'!C49</f>
        <v>0</v>
      </c>
      <c r="J58" s="163">
        <f>C58*'Concentrische proefvlakken'!I49</f>
        <v>0</v>
      </c>
      <c r="K58" s="163">
        <f>C58*'Concentrische proefvlakken'!O49</f>
        <v>0</v>
      </c>
      <c r="L58" s="237">
        <f>C58*'Concentrische proefvlakken'!U49</f>
        <v>0</v>
      </c>
      <c r="P58" s="3"/>
      <c r="R58" s="3"/>
    </row>
    <row r="59" spans="2:19" x14ac:dyDescent="0.25">
      <c r="B59" s="200">
        <f t="shared" si="1"/>
        <v>0.42971834634811745</v>
      </c>
      <c r="C59" s="51">
        <f>135/100</f>
        <v>1.35</v>
      </c>
      <c r="D59" s="128" t="s">
        <v>51</v>
      </c>
      <c r="E59" s="168">
        <f>C59*'Concentrische proefvlakken'!C22</f>
        <v>0</v>
      </c>
      <c r="F59" s="163">
        <f>C59*'Concentrische proefvlakken'!I22</f>
        <v>0</v>
      </c>
      <c r="G59" s="163">
        <f>C59*'Concentrische proefvlakken'!O22</f>
        <v>0</v>
      </c>
      <c r="H59" s="163">
        <f>C59*'Concentrische proefvlakken'!U22</f>
        <v>0</v>
      </c>
      <c r="I59" s="163">
        <f>C59*'Concentrische proefvlakken'!C50</f>
        <v>0</v>
      </c>
      <c r="J59" s="163">
        <f>C59*'Concentrische proefvlakken'!I50</f>
        <v>0</v>
      </c>
      <c r="K59" s="163">
        <f>C59*'Concentrische proefvlakken'!O50</f>
        <v>0</v>
      </c>
      <c r="L59" s="237">
        <f>C59*'Concentrische proefvlakken'!U50</f>
        <v>0</v>
      </c>
      <c r="P59" s="3"/>
    </row>
    <row r="60" spans="2:19" x14ac:dyDescent="0.25">
      <c r="B60" s="200">
        <f t="shared" si="1"/>
        <v>0.46154933496649647</v>
      </c>
      <c r="C60" s="51">
        <f>145/100</f>
        <v>1.45</v>
      </c>
      <c r="D60" s="128" t="s">
        <v>52</v>
      </c>
      <c r="E60" s="168">
        <f>C60*'Concentrische proefvlakken'!C23</f>
        <v>0</v>
      </c>
      <c r="F60" s="163">
        <f>C60*'Concentrische proefvlakken'!I23</f>
        <v>0</v>
      </c>
      <c r="G60" s="163">
        <f>C60*'Concentrische proefvlakken'!O23</f>
        <v>0</v>
      </c>
      <c r="H60" s="163">
        <f>C60*'Concentrische proefvlakken'!U23</f>
        <v>0</v>
      </c>
      <c r="I60" s="163">
        <f>C60*'Concentrische proefvlakken'!C51</f>
        <v>0</v>
      </c>
      <c r="J60" s="163">
        <f>C60*'Concentrische proefvlakken'!I51</f>
        <v>0</v>
      </c>
      <c r="K60" s="163">
        <f>C60*'Concentrische proefvlakken'!O51</f>
        <v>0</v>
      </c>
      <c r="L60" s="237">
        <f>C60*'Concentrische proefvlakken'!U51</f>
        <v>0</v>
      </c>
      <c r="P60" s="3"/>
      <c r="S60" s="3"/>
    </row>
    <row r="61" spans="2:19" x14ac:dyDescent="0.25">
      <c r="B61" s="200">
        <f t="shared" si="1"/>
        <v>0.4933803235848756</v>
      </c>
      <c r="C61" s="51">
        <f>155/100</f>
        <v>1.55</v>
      </c>
      <c r="D61" s="128" t="s">
        <v>53</v>
      </c>
      <c r="E61" s="168">
        <f>C61*'Concentrische proefvlakken'!C24</f>
        <v>0</v>
      </c>
      <c r="F61" s="163">
        <f>C61*'Concentrische proefvlakken'!I24</f>
        <v>0</v>
      </c>
      <c r="G61" s="163">
        <f>C61*'Concentrische proefvlakken'!O24</f>
        <v>0</v>
      </c>
      <c r="H61" s="163">
        <f>C61*'Concentrische proefvlakken'!U24</f>
        <v>0</v>
      </c>
      <c r="I61" s="163">
        <f>C61*'Concentrische proefvlakken'!C52</f>
        <v>0</v>
      </c>
      <c r="J61" s="163">
        <f>C61*'Concentrische proefvlakken'!I52</f>
        <v>0</v>
      </c>
      <c r="K61" s="163">
        <f>C61*'Concentrische proefvlakken'!O52</f>
        <v>0</v>
      </c>
      <c r="L61" s="237">
        <f>C61*'Concentrische proefvlakken'!U52</f>
        <v>0</v>
      </c>
      <c r="P61" s="3"/>
    </row>
    <row r="62" spans="2:19" x14ac:dyDescent="0.25">
      <c r="B62" s="200">
        <f t="shared" si="1"/>
        <v>0.52521131220325457</v>
      </c>
      <c r="C62" s="51">
        <f>165/100</f>
        <v>1.65</v>
      </c>
      <c r="D62" s="128" t="s">
        <v>54</v>
      </c>
      <c r="E62" s="168">
        <f>C62*'Concentrische proefvlakken'!C25</f>
        <v>0</v>
      </c>
      <c r="F62" s="163">
        <f>C62*'Concentrische proefvlakken'!I25</f>
        <v>0</v>
      </c>
      <c r="G62" s="163">
        <f>C62*'Concentrische proefvlakken'!O25</f>
        <v>0</v>
      </c>
      <c r="H62" s="163">
        <f>C62*'Concentrische proefvlakken'!U25</f>
        <v>0</v>
      </c>
      <c r="I62" s="163">
        <f>C62*'Concentrische proefvlakken'!C53</f>
        <v>0</v>
      </c>
      <c r="J62" s="163">
        <f>C62*'Concentrische proefvlakken'!I53</f>
        <v>0</v>
      </c>
      <c r="K62" s="163">
        <f>C62*'Concentrische proefvlakken'!O53</f>
        <v>0</v>
      </c>
      <c r="L62" s="237">
        <f>C62*'Concentrische proefvlakken'!U53</f>
        <v>0</v>
      </c>
      <c r="P62" s="3"/>
    </row>
    <row r="63" spans="2:19" x14ac:dyDescent="0.25">
      <c r="B63" s="200">
        <f t="shared" si="1"/>
        <v>0.55704230082163375</v>
      </c>
      <c r="C63" s="51">
        <f>175/100</f>
        <v>1.75</v>
      </c>
      <c r="D63" s="128" t="s">
        <v>55</v>
      </c>
      <c r="E63" s="168">
        <f>C63*'Concentrische proefvlakken'!C26</f>
        <v>0</v>
      </c>
      <c r="F63" s="163">
        <f>C63*'Concentrische proefvlakken'!I26</f>
        <v>0</v>
      </c>
      <c r="G63" s="163">
        <f>C63*'Concentrische proefvlakken'!O26</f>
        <v>0</v>
      </c>
      <c r="H63" s="163">
        <f>C63*'Concentrische proefvlakken'!U26</f>
        <v>0</v>
      </c>
      <c r="I63" s="163">
        <f>C63*'Concentrische proefvlakken'!C54</f>
        <v>0</v>
      </c>
      <c r="J63" s="163">
        <f>C63*'Concentrische proefvlakken'!I54</f>
        <v>0</v>
      </c>
      <c r="K63" s="163">
        <f>C63*'Concentrische proefvlakken'!O54</f>
        <v>0</v>
      </c>
      <c r="L63" s="237">
        <f>C63*'Concentrische proefvlakken'!U54</f>
        <v>0</v>
      </c>
      <c r="P63" s="11"/>
    </row>
    <row r="64" spans="2:19" x14ac:dyDescent="0.25">
      <c r="B64" s="200">
        <f t="shared" si="1"/>
        <v>0.58887328944001283</v>
      </c>
      <c r="C64" s="51">
        <f>185/100</f>
        <v>1.85</v>
      </c>
      <c r="D64" s="128" t="s">
        <v>56</v>
      </c>
      <c r="E64" s="168">
        <f>C64*'Concentrische proefvlakken'!C27</f>
        <v>0</v>
      </c>
      <c r="F64" s="163">
        <f>C64*'Concentrische proefvlakken'!I27</f>
        <v>0</v>
      </c>
      <c r="G64" s="163">
        <f>C64*'Concentrische proefvlakken'!O27</f>
        <v>0</v>
      </c>
      <c r="H64" s="163">
        <f>C64*'Concentrische proefvlakken'!U27</f>
        <v>0</v>
      </c>
      <c r="I64" s="163">
        <f>C64*'Concentrische proefvlakken'!C55</f>
        <v>0</v>
      </c>
      <c r="J64" s="163">
        <f>C64*'Concentrische proefvlakken'!I55</f>
        <v>0</v>
      </c>
      <c r="K64" s="163">
        <f>C64*'Concentrische proefvlakken'!O55</f>
        <v>0</v>
      </c>
      <c r="L64" s="237">
        <f>C64*'Concentrische proefvlakken'!U55</f>
        <v>0</v>
      </c>
      <c r="P64" s="12"/>
    </row>
    <row r="65" spans="2:17" x14ac:dyDescent="0.25">
      <c r="B65" s="200">
        <f t="shared" si="1"/>
        <v>0.62070427805839179</v>
      </c>
      <c r="C65" s="51">
        <f>195/100</f>
        <v>1.95</v>
      </c>
      <c r="D65" s="128" t="s">
        <v>57</v>
      </c>
      <c r="E65" s="185">
        <f>C65*'Concentrische proefvlakken'!C28</f>
        <v>0</v>
      </c>
      <c r="F65" s="164">
        <f>C65*'Concentrische proefvlakken'!I28</f>
        <v>0</v>
      </c>
      <c r="G65" s="164">
        <f>C65*'Concentrische proefvlakken'!O28</f>
        <v>0</v>
      </c>
      <c r="H65" s="164">
        <f>C65*'Concentrische proefvlakken'!U28</f>
        <v>0</v>
      </c>
      <c r="I65" s="164">
        <f>C65*'Concentrische proefvlakken'!C56</f>
        <v>0</v>
      </c>
      <c r="J65" s="164">
        <f>C65*'Concentrische proefvlakken'!I56</f>
        <v>0</v>
      </c>
      <c r="K65" s="164">
        <f>C65*'Concentrische proefvlakken'!O56</f>
        <v>0</v>
      </c>
      <c r="L65" s="241">
        <f>C65*'Concentrische proefvlakken'!U56</f>
        <v>0</v>
      </c>
      <c r="P65" s="12"/>
      <c r="Q65" s="3"/>
    </row>
    <row r="66" spans="2:17" ht="15.75" thickBot="1" x14ac:dyDescent="0.3">
      <c r="B66" s="202"/>
      <c r="C66" s="6"/>
      <c r="D66" s="6"/>
      <c r="E66" s="213" t="e">
        <f>SUM(E47:E65)/'Concentrische proefvlakken'!E30</f>
        <v>#DIV/0!</v>
      </c>
      <c r="F66" s="214" t="e">
        <f>SUM(F47:F65)/'Concentrische proefvlakken'!K30</f>
        <v>#DIV/0!</v>
      </c>
      <c r="G66" s="214" t="e">
        <f>SUM(G47:G65)/'Concentrische proefvlakken'!Q30</f>
        <v>#DIV/0!</v>
      </c>
      <c r="H66" s="214" t="e">
        <f>SUM(H47:H65)/'Concentrische proefvlakken'!W30</f>
        <v>#DIV/0!</v>
      </c>
      <c r="I66" s="214" t="e">
        <f>SUM(I47:I65)/'Concentrische proefvlakken'!E58</f>
        <v>#DIV/0!</v>
      </c>
      <c r="J66" s="214" t="e">
        <f>SUM(J47:J65)/'Concentrische proefvlakken'!K58</f>
        <v>#DIV/0!</v>
      </c>
      <c r="K66" s="214" t="e">
        <f>SUM(K47:K65)/'Concentrische proefvlakken'!Q58</f>
        <v>#DIV/0!</v>
      </c>
      <c r="L66" s="275" t="e">
        <f>SUM(L47:L65)/'Concentrische proefvlakken'!W58</f>
        <v>#DIV/0!</v>
      </c>
      <c r="P66" s="11"/>
    </row>
    <row r="67" spans="2:17" ht="15.75" thickBot="1" x14ac:dyDescent="0.3">
      <c r="C67" s="3"/>
      <c r="E67" s="198">
        <f t="shared" ref="E67:L67" si="2">IFERROR(E66,0)</f>
        <v>0</v>
      </c>
      <c r="F67" s="198">
        <f t="shared" si="2"/>
        <v>0</v>
      </c>
      <c r="G67" s="198">
        <f t="shared" si="2"/>
        <v>0</v>
      </c>
      <c r="H67" s="198">
        <f t="shared" si="2"/>
        <v>0</v>
      </c>
      <c r="I67" s="198">
        <f t="shared" si="2"/>
        <v>0</v>
      </c>
      <c r="J67" s="198">
        <f t="shared" si="2"/>
        <v>0</v>
      </c>
      <c r="K67" s="198">
        <f t="shared" si="2"/>
        <v>0</v>
      </c>
      <c r="L67" s="198">
        <f t="shared" si="2"/>
        <v>0</v>
      </c>
      <c r="M67" s="4"/>
      <c r="P67" s="219"/>
      <c r="Q67" s="3"/>
    </row>
    <row r="68" spans="2:17" ht="15.75" thickBot="1" x14ac:dyDescent="0.3">
      <c r="C68" s="3"/>
      <c r="D68" s="104"/>
      <c r="E68" s="186">
        <f t="shared" ref="E68:F68" si="3">IF(E67&gt;0,1,0)</f>
        <v>0</v>
      </c>
      <c r="F68" s="186">
        <f t="shared" si="3"/>
        <v>0</v>
      </c>
      <c r="G68" s="186">
        <f>IF(G67&gt;0,1,0)</f>
        <v>0</v>
      </c>
      <c r="H68" s="186">
        <f t="shared" ref="H68:L68" si="4">IF(H67&gt;0,1,0)</f>
        <v>0</v>
      </c>
      <c r="I68" s="186">
        <f t="shared" si="4"/>
        <v>0</v>
      </c>
      <c r="J68" s="186">
        <f t="shared" si="4"/>
        <v>0</v>
      </c>
      <c r="K68" s="186">
        <f t="shared" si="4"/>
        <v>0</v>
      </c>
      <c r="L68" s="187">
        <f t="shared" si="4"/>
        <v>0</v>
      </c>
      <c r="P68" s="11"/>
    </row>
    <row r="69" spans="2:17" ht="15.75" thickBot="1" x14ac:dyDescent="0.3">
      <c r="D69" s="101" t="s">
        <v>110</v>
      </c>
      <c r="E69" s="304" t="e">
        <f>SUM(E67:L67)/(SUM(E68:L68))</f>
        <v>#DIV/0!</v>
      </c>
      <c r="F69" s="305"/>
      <c r="G69" s="305"/>
      <c r="H69" s="305"/>
      <c r="I69" s="305"/>
      <c r="J69" s="305"/>
      <c r="K69" s="305"/>
      <c r="L69" s="306"/>
      <c r="M69" s="11"/>
    </row>
    <row r="70" spans="2:17" x14ac:dyDescent="0.25">
      <c r="D70" s="104"/>
      <c r="E70" s="9"/>
      <c r="F70" s="9"/>
      <c r="G70" s="9"/>
      <c r="H70" s="9"/>
      <c r="I70" s="9"/>
      <c r="J70" s="9"/>
      <c r="K70" s="9"/>
      <c r="L70" s="9"/>
    </row>
    <row r="71" spans="2:17" ht="15.75" thickBot="1" x14ac:dyDescent="0.3">
      <c r="D71" s="104"/>
      <c r="E71" s="9"/>
      <c r="F71" s="9"/>
      <c r="G71" s="9"/>
      <c r="H71" s="9"/>
      <c r="I71" s="9"/>
      <c r="J71" s="9"/>
      <c r="K71" s="9"/>
      <c r="L71" s="9"/>
    </row>
    <row r="72" spans="2:17" ht="15.75" thickBot="1" x14ac:dyDescent="0.3">
      <c r="B72" s="231" t="s">
        <v>115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3"/>
      <c r="M72" s="307" t="s">
        <v>118</v>
      </c>
      <c r="N72" s="308"/>
    </row>
    <row r="73" spans="2:17" ht="15.75" thickBot="1" x14ac:dyDescent="0.3">
      <c r="B73" s="162" t="s">
        <v>122</v>
      </c>
      <c r="C73" s="299" t="s">
        <v>87</v>
      </c>
      <c r="D73" s="300"/>
      <c r="E73" s="102" t="s">
        <v>63</v>
      </c>
      <c r="F73" s="103" t="s">
        <v>64</v>
      </c>
      <c r="G73" s="103" t="s">
        <v>65</v>
      </c>
      <c r="H73" s="103" t="s">
        <v>66</v>
      </c>
      <c r="I73" s="103" t="s">
        <v>67</v>
      </c>
      <c r="J73" s="103" t="s">
        <v>68</v>
      </c>
      <c r="K73" s="103" t="s">
        <v>69</v>
      </c>
      <c r="L73" s="150" t="s">
        <v>70</v>
      </c>
      <c r="M73" s="265" t="s">
        <v>96</v>
      </c>
      <c r="N73" s="266" t="s">
        <v>59</v>
      </c>
    </row>
    <row r="74" spans="2:17" x14ac:dyDescent="0.25">
      <c r="B74" s="200">
        <f t="shared" ref="B74:B92" si="5">(C74/PI())/2</f>
        <v>2.3873241463784299E-2</v>
      </c>
      <c r="C74" s="51">
        <f>15/100</f>
        <v>0.15</v>
      </c>
      <c r="D74" s="263" t="s">
        <v>124</v>
      </c>
      <c r="E74" s="153">
        <f>PI()*($B74)*($B74)*'Concentrische proefvlakken'!$C10</f>
        <v>0</v>
      </c>
      <c r="F74" s="154">
        <f>PI()*($B74)*($B74)*'Concentrische proefvlakken'!$I10</f>
        <v>0</v>
      </c>
      <c r="G74" s="154">
        <f>PI()*($B74)*($B74)*'Concentrische proefvlakken'!$O10</f>
        <v>0</v>
      </c>
      <c r="H74" s="154">
        <f>PI()*($B74)*($B74)*'Concentrische proefvlakken'!$U10</f>
        <v>0</v>
      </c>
      <c r="I74" s="154">
        <f>PI()*($B74)*($B74)*'Concentrische proefvlakken'!$C38</f>
        <v>0</v>
      </c>
      <c r="J74" s="154">
        <f>PI()*($B74)*($B74)*'Concentrische proefvlakken'!$I38</f>
        <v>0</v>
      </c>
      <c r="K74" s="154">
        <f>PI()*($B74)*($B74)*'Concentrische proefvlakken'!$O38</f>
        <v>0</v>
      </c>
      <c r="L74" s="155">
        <f>PI()*($B74)*($B74)*'Concentrische proefvlakken'!$U38</f>
        <v>0</v>
      </c>
      <c r="M74" s="212">
        <f>VLOOKUP('Strookvormig proefvlak '!$F$5,Parameters!$B$127:$U$142,2,FALSE)*M94</f>
        <v>2.1389999999999998</v>
      </c>
      <c r="N74" s="211">
        <f>PI()*B74*B74*'Strookvormig proefvlak '!D14</f>
        <v>0</v>
      </c>
    </row>
    <row r="75" spans="2:17" x14ac:dyDescent="0.25">
      <c r="B75" s="200">
        <f t="shared" si="5"/>
        <v>3.9788735772973836E-2</v>
      </c>
      <c r="C75" s="51">
        <f>25/100</f>
        <v>0.25</v>
      </c>
      <c r="D75" s="128" t="s">
        <v>40</v>
      </c>
      <c r="E75" s="156">
        <f>PI()*($B75)*($B75)*'Concentrische proefvlakken'!$C11</f>
        <v>0</v>
      </c>
      <c r="F75" s="152">
        <f>PI()*($B75)*($B75)*'Concentrische proefvlakken'!$I11</f>
        <v>0</v>
      </c>
      <c r="G75" s="152">
        <f>PI()*($B75)*($B75)*'Concentrische proefvlakken'!$O11</f>
        <v>0</v>
      </c>
      <c r="H75" s="152">
        <f>PI()*($B75/2)*($B75/2)*'Concentrische proefvlakken'!U11</f>
        <v>0</v>
      </c>
      <c r="I75" s="152">
        <f>PI()*($B75)*($B75)*'Concentrische proefvlakken'!$C39</f>
        <v>0</v>
      </c>
      <c r="J75" s="152">
        <f>PI()*($B75)*($B75)*'Concentrische proefvlakken'!$I39</f>
        <v>0</v>
      </c>
      <c r="K75" s="152">
        <f>PI()*($B75)*($B75)*'Concentrische proefvlakken'!$O39</f>
        <v>0</v>
      </c>
      <c r="L75" s="157">
        <f>PI()*($B75)*($B75)*'Concentrische proefvlakken'!$U39</f>
        <v>0</v>
      </c>
      <c r="M75" s="212">
        <f>VLOOKUP('Strookvormig proefvlak '!$F$5,Parameters!$B$127:$U$142,3,FALSE)*M94</f>
        <v>2.1389999999999998</v>
      </c>
      <c r="N75" s="211">
        <f>PI()*B75*B75*'Strookvormig proefvlak '!D15</f>
        <v>0</v>
      </c>
    </row>
    <row r="76" spans="2:17" x14ac:dyDescent="0.25">
      <c r="B76" s="200">
        <f t="shared" si="5"/>
        <v>5.5704230082163367E-2</v>
      </c>
      <c r="C76" s="51">
        <f>35/100</f>
        <v>0.35</v>
      </c>
      <c r="D76" s="128" t="s">
        <v>41</v>
      </c>
      <c r="E76" s="156">
        <f>PI()*($B76)*($B76)*'Concentrische proefvlakken'!$C12</f>
        <v>0</v>
      </c>
      <c r="F76" s="152">
        <f>PI()*($B76)*($B76)*'Concentrische proefvlakken'!$I12</f>
        <v>0</v>
      </c>
      <c r="G76" s="152">
        <f>PI()*($B76)*($B76)*'Concentrische proefvlakken'!$O12</f>
        <v>0</v>
      </c>
      <c r="H76" s="152">
        <f>PI()*($B76/2)*($B76/2)*'Concentrische proefvlakken'!U12</f>
        <v>0</v>
      </c>
      <c r="I76" s="152">
        <f>PI()*($B76)*($B76)*'Concentrische proefvlakken'!$C40</f>
        <v>0</v>
      </c>
      <c r="J76" s="152">
        <f>PI()*($B76)*($B76)*'Concentrische proefvlakken'!$I40</f>
        <v>0</v>
      </c>
      <c r="K76" s="152">
        <f>PI()*($B76)*($B76)*'Concentrische proefvlakken'!$O40</f>
        <v>0</v>
      </c>
      <c r="L76" s="157">
        <f>PI()*($B76)*($B76)*'Concentrische proefvlakken'!$U40</f>
        <v>0</v>
      </c>
      <c r="M76" s="212">
        <f>VLOOKUP('Strookvormig proefvlak '!$F$5,Parameters!$B$127:$U$142,4,FALSE)*M94</f>
        <v>2.1389999999999998</v>
      </c>
      <c r="N76" s="211">
        <f>PI()*B76*B76*'Strookvormig proefvlak '!D16</f>
        <v>0</v>
      </c>
    </row>
    <row r="77" spans="2:17" x14ac:dyDescent="0.25">
      <c r="B77" s="200">
        <f t="shared" si="5"/>
        <v>7.1619724391352904E-2</v>
      </c>
      <c r="C77" s="51">
        <f>45/100</f>
        <v>0.45</v>
      </c>
      <c r="D77" s="128" t="s">
        <v>42</v>
      </c>
      <c r="E77" s="156">
        <f>PI()*($B77)*($B77)*'Concentrische proefvlakken'!$C13</f>
        <v>0</v>
      </c>
      <c r="F77" s="152">
        <f>PI()*($B77)*($B77)*'Concentrische proefvlakken'!$I13</f>
        <v>0</v>
      </c>
      <c r="G77" s="152">
        <f>PI()*($B77)*($B77)*'Concentrische proefvlakken'!$O13</f>
        <v>0</v>
      </c>
      <c r="H77" s="152">
        <f>PI()*($B77/2)*($B77/2)*'Concentrische proefvlakken'!U13</f>
        <v>0</v>
      </c>
      <c r="I77" s="152">
        <f>PI()*($B77)*($B77)*'Concentrische proefvlakken'!$C41</f>
        <v>0</v>
      </c>
      <c r="J77" s="152">
        <f>PI()*($B77)*($B77)*'Concentrische proefvlakken'!$I41</f>
        <v>0</v>
      </c>
      <c r="K77" s="152">
        <f>PI()*($B77)*($B77)*'Concentrische proefvlakken'!$O41</f>
        <v>0</v>
      </c>
      <c r="L77" s="157">
        <f>PI()*($B77)*($B77)*'Concentrische proefvlakken'!$U41</f>
        <v>0</v>
      </c>
      <c r="M77" s="212">
        <f>VLOOKUP('Strookvormig proefvlak '!$F$5,Parameters!$B$127:$U$142,5,FALSE)*M94</f>
        <v>2.1389999999999998</v>
      </c>
      <c r="N77" s="211">
        <f>PI()*B77*B77*'Strookvormig proefvlak '!D17</f>
        <v>0</v>
      </c>
    </row>
    <row r="78" spans="2:17" x14ac:dyDescent="0.25">
      <c r="B78" s="200">
        <f t="shared" si="5"/>
        <v>8.7535218700542441E-2</v>
      </c>
      <c r="C78" s="51">
        <f>55/100</f>
        <v>0.55000000000000004</v>
      </c>
      <c r="D78" s="128" t="s">
        <v>43</v>
      </c>
      <c r="E78" s="156">
        <f>PI()*($B78)*($B78)*'Concentrische proefvlakken'!$C14</f>
        <v>0</v>
      </c>
      <c r="F78" s="152">
        <f>PI()*($B78)*($B78)*'Concentrische proefvlakken'!$I14</f>
        <v>0</v>
      </c>
      <c r="G78" s="152">
        <f>PI()*($B78)*($B78)*'Concentrische proefvlakken'!$O14</f>
        <v>0</v>
      </c>
      <c r="H78" s="152">
        <f>PI()*($B78/2)*($B78/2)*'Concentrische proefvlakken'!U14</f>
        <v>0</v>
      </c>
      <c r="I78" s="152">
        <f>PI()*($B78)*($B78)*'Concentrische proefvlakken'!$C42</f>
        <v>0</v>
      </c>
      <c r="J78" s="152">
        <f>PI()*($B78)*($B78)*'Concentrische proefvlakken'!$I42</f>
        <v>0</v>
      </c>
      <c r="K78" s="152">
        <f>PI()*($B78)*($B78)*'Concentrische proefvlakken'!$O42</f>
        <v>0</v>
      </c>
      <c r="L78" s="157">
        <f>PI()*($B78)*($B78)*'Concentrische proefvlakken'!$U42</f>
        <v>0</v>
      </c>
      <c r="M78" s="212">
        <f>VLOOKUP('Strookvormig proefvlak '!$F$5,Parameters!$B$127:$U$142,6,FALSE)*M94</f>
        <v>2.8519999999999999</v>
      </c>
      <c r="N78" s="211">
        <f>PI()*B78*B78*'Strookvormig proefvlak '!D18</f>
        <v>0</v>
      </c>
    </row>
    <row r="79" spans="2:17" x14ac:dyDescent="0.25">
      <c r="B79" s="200">
        <f t="shared" si="5"/>
        <v>0.10345071300973198</v>
      </c>
      <c r="C79" s="51">
        <f>65/100</f>
        <v>0.65</v>
      </c>
      <c r="D79" s="128" t="s">
        <v>44</v>
      </c>
      <c r="E79" s="156">
        <f>PI()*($B79)*($B79)*'Concentrische proefvlakken'!$C15</f>
        <v>0</v>
      </c>
      <c r="F79" s="152">
        <f>PI()*($B79)*($B79)*'Concentrische proefvlakken'!$I15</f>
        <v>0</v>
      </c>
      <c r="G79" s="152">
        <f>PI()*($B79)*($B79)*'Concentrische proefvlakken'!$O15</f>
        <v>0</v>
      </c>
      <c r="H79" s="152">
        <f>PI()*($B79/2)*($B79/2)*'Concentrische proefvlakken'!U15</f>
        <v>0</v>
      </c>
      <c r="I79" s="152">
        <f>PI()*($B79)*($B79)*'Concentrische proefvlakken'!$C43</f>
        <v>0</v>
      </c>
      <c r="J79" s="152">
        <f>PI()*($B79)*($B79)*'Concentrische proefvlakken'!$I43</f>
        <v>0</v>
      </c>
      <c r="K79" s="152">
        <f>PI()*($B79)*($B79)*'Concentrische proefvlakken'!$O43</f>
        <v>0</v>
      </c>
      <c r="L79" s="157">
        <f>PI()*($B79)*($B79)*'Concentrische proefvlakken'!$U43</f>
        <v>0</v>
      </c>
      <c r="M79" s="212">
        <f>VLOOKUP('Strookvormig proefvlak '!$F$5,Parameters!$B$127:$U$142,7,FALSE)*M94</f>
        <v>2.8519999999999999</v>
      </c>
      <c r="N79" s="211">
        <f>PI()*B79*B79*'Strookvormig proefvlak '!D19</f>
        <v>0</v>
      </c>
    </row>
    <row r="80" spans="2:17" x14ac:dyDescent="0.25">
      <c r="B80" s="200">
        <f t="shared" si="5"/>
        <v>0.1193662073189215</v>
      </c>
      <c r="C80" s="51">
        <f>75/100</f>
        <v>0.75</v>
      </c>
      <c r="D80" s="128" t="s">
        <v>45</v>
      </c>
      <c r="E80" s="156">
        <f>PI()*($B80)*($B80)*'Concentrische proefvlakken'!$C16</f>
        <v>0</v>
      </c>
      <c r="F80" s="152">
        <f>PI()*($B80)*($B80)*'Concentrische proefvlakken'!$I16</f>
        <v>0</v>
      </c>
      <c r="G80" s="152">
        <f>PI()*($B80)*($B80)*'Concentrische proefvlakken'!$O16</f>
        <v>0</v>
      </c>
      <c r="H80" s="152">
        <f>PI()*($B80/2)*($B80/2)*'Concentrische proefvlakken'!U16</f>
        <v>0</v>
      </c>
      <c r="I80" s="152">
        <f>PI()*($B80)*($B80)*'Concentrische proefvlakken'!$C44</f>
        <v>0</v>
      </c>
      <c r="J80" s="152">
        <f>PI()*($B80)*($B80)*'Concentrische proefvlakken'!$I44</f>
        <v>0</v>
      </c>
      <c r="K80" s="152">
        <f>PI()*($B80)*($B80)*'Concentrische proefvlakken'!$O44</f>
        <v>0</v>
      </c>
      <c r="L80" s="157">
        <f>PI()*($B80)*($B80)*'Concentrische proefvlakken'!$U44</f>
        <v>0</v>
      </c>
      <c r="M80" s="212">
        <f>VLOOKUP('Strookvormig proefvlak '!$F$5,Parameters!$B$127:$U$142,8,FALSE)*M94</f>
        <v>3.5649999999999999</v>
      </c>
      <c r="N80" s="211">
        <f>PI()*B80*B80*'Strookvormig proefvlak '!D20</f>
        <v>0</v>
      </c>
    </row>
    <row r="81" spans="2:14" x14ac:dyDescent="0.25">
      <c r="B81" s="200">
        <f t="shared" si="5"/>
        <v>0.13528170162811104</v>
      </c>
      <c r="C81" s="51">
        <f>85/100</f>
        <v>0.85</v>
      </c>
      <c r="D81" s="128" t="s">
        <v>46</v>
      </c>
      <c r="E81" s="156">
        <f>PI()*($B81)*($B81)*'Concentrische proefvlakken'!$C17</f>
        <v>0</v>
      </c>
      <c r="F81" s="152">
        <f>PI()*($B81)*($B81)*'Concentrische proefvlakken'!$I17</f>
        <v>0</v>
      </c>
      <c r="G81" s="152">
        <f>PI()*($B81)*($B81)*'Concentrische proefvlakken'!$O17</f>
        <v>0</v>
      </c>
      <c r="H81" s="152">
        <f>PI()*($B81/2)*($B81/2)*'Concentrische proefvlakken'!U17</f>
        <v>0</v>
      </c>
      <c r="I81" s="152">
        <f>PI()*($B81)*($B81)*'Concentrische proefvlakken'!$C45</f>
        <v>0</v>
      </c>
      <c r="J81" s="152">
        <f>PI()*($B81)*($B81)*'Concentrische proefvlakken'!$I45</f>
        <v>0</v>
      </c>
      <c r="K81" s="152">
        <f>PI()*($B81)*($B81)*'Concentrische proefvlakken'!$O45</f>
        <v>0</v>
      </c>
      <c r="L81" s="157">
        <f>PI()*($B81)*($B81)*'Concentrische proefvlakken'!$U45</f>
        <v>0</v>
      </c>
      <c r="M81" s="212">
        <f>VLOOKUP('Strookvormig proefvlak '!$F$5,Parameters!$B$127:$U$142,9,FALSE)*M94</f>
        <v>3.5649999999999999</v>
      </c>
      <c r="N81" s="211">
        <f>PI()*B81*B81*'Strookvormig proefvlak '!D21</f>
        <v>0</v>
      </c>
    </row>
    <row r="82" spans="2:14" x14ac:dyDescent="0.25">
      <c r="B82" s="200">
        <f t="shared" si="5"/>
        <v>0.15119719593730058</v>
      </c>
      <c r="C82" s="51">
        <f>95/100</f>
        <v>0.95</v>
      </c>
      <c r="D82" s="128" t="s">
        <v>47</v>
      </c>
      <c r="E82" s="156">
        <f>PI()*($B82)*($B82)*'Concentrische proefvlakken'!$C18</f>
        <v>0</v>
      </c>
      <c r="F82" s="152">
        <f>PI()*($B82)*($B82)*'Concentrische proefvlakken'!$I18</f>
        <v>0</v>
      </c>
      <c r="G82" s="152">
        <f>PI()*($B82)*($B82)*'Concentrische proefvlakken'!$O18</f>
        <v>0</v>
      </c>
      <c r="H82" s="152">
        <f>PI()*($B82/2)*($B82/2)*'Concentrische proefvlakken'!U18</f>
        <v>0</v>
      </c>
      <c r="I82" s="152">
        <f>PI()*($B82)*($B82)*'Concentrische proefvlakken'!$C46</f>
        <v>0</v>
      </c>
      <c r="J82" s="152">
        <f>PI()*($B82)*($B82)*'Concentrische proefvlakken'!$I46</f>
        <v>0</v>
      </c>
      <c r="K82" s="152">
        <f>PI()*($B82)*($B82)*'Concentrische proefvlakken'!$O46</f>
        <v>0</v>
      </c>
      <c r="L82" s="157">
        <f>PI()*($B82)*($B82)*'Concentrische proefvlakken'!$U46</f>
        <v>0</v>
      </c>
      <c r="M82" s="212">
        <f>VLOOKUP('Strookvormig proefvlak '!$F$5,Parameters!$B$127:$U$142,10,FALSE)*M94</f>
        <v>4.2779999999999996</v>
      </c>
      <c r="N82" s="211">
        <f>PI()*B82*B82*'Strookvormig proefvlak '!D22</f>
        <v>0</v>
      </c>
    </row>
    <row r="83" spans="2:14" x14ac:dyDescent="0.25">
      <c r="B83" s="200">
        <f t="shared" si="5"/>
        <v>0.16711269024649011</v>
      </c>
      <c r="C83" s="51">
        <f>105/100</f>
        <v>1.05</v>
      </c>
      <c r="D83" s="128" t="s">
        <v>48</v>
      </c>
      <c r="E83" s="156">
        <f>PI()*($B83)*($B83)*'Concentrische proefvlakken'!$C19</f>
        <v>0</v>
      </c>
      <c r="F83" s="152">
        <f>PI()*($B83)*($B83)*'Concentrische proefvlakken'!$I19</f>
        <v>0</v>
      </c>
      <c r="G83" s="152">
        <f>PI()*($B83)*($B83)*'Concentrische proefvlakken'!$O19</f>
        <v>0</v>
      </c>
      <c r="H83" s="152">
        <f>PI()*($B83/2)*($B83/2)*'Concentrische proefvlakken'!U19</f>
        <v>0</v>
      </c>
      <c r="I83" s="152">
        <f>PI()*($B83)*($B83)*'Concentrische proefvlakken'!$C47</f>
        <v>0</v>
      </c>
      <c r="J83" s="152">
        <f>PI()*($B83)*($B83)*'Concentrische proefvlakken'!$I47</f>
        <v>0</v>
      </c>
      <c r="K83" s="152">
        <f>PI()*($B83)*($B83)*'Concentrische proefvlakken'!$O47</f>
        <v>0</v>
      </c>
      <c r="L83" s="157">
        <f>PI()*($B83)*($B83)*'Concentrische proefvlakken'!$U47</f>
        <v>0</v>
      </c>
      <c r="M83" s="212">
        <f>VLOOKUP('Strookvormig proefvlak '!$F$5,Parameters!$B$127:$U$142,11,FALSE)*M94</f>
        <v>4.2779999999999996</v>
      </c>
      <c r="N83" s="211">
        <f>PI()*B83*B83*'Strookvormig proefvlak '!D23</f>
        <v>0</v>
      </c>
    </row>
    <row r="84" spans="2:14" x14ac:dyDescent="0.25">
      <c r="B84" s="200">
        <f t="shared" si="5"/>
        <v>0.18302818455567962</v>
      </c>
      <c r="C84" s="51">
        <f>115/100</f>
        <v>1.1499999999999999</v>
      </c>
      <c r="D84" s="128" t="s">
        <v>49</v>
      </c>
      <c r="E84" s="156">
        <f>PI()*($B84)*($B84)*'Concentrische proefvlakken'!$C20</f>
        <v>0</v>
      </c>
      <c r="F84" s="152">
        <f>PI()*($B84)*($B84)*'Concentrische proefvlakken'!$I20</f>
        <v>0</v>
      </c>
      <c r="G84" s="152">
        <f>PI()*($B84)*($B84)*'Concentrische proefvlakken'!$O20</f>
        <v>0</v>
      </c>
      <c r="H84" s="152">
        <f>PI()*($B84/2)*($B84/2)*'Concentrische proefvlakken'!U20</f>
        <v>0</v>
      </c>
      <c r="I84" s="152">
        <f>PI()*($B84)*($B84)*'Concentrische proefvlakken'!$C48</f>
        <v>0</v>
      </c>
      <c r="J84" s="152">
        <f>PI()*($B84)*($B84)*'Concentrische proefvlakken'!$I48</f>
        <v>0</v>
      </c>
      <c r="K84" s="152">
        <f>PI()*($B84)*($B84)*'Concentrische proefvlakken'!$O48</f>
        <v>0</v>
      </c>
      <c r="L84" s="157">
        <f>PI()*($B84)*($B84)*'Concentrische proefvlakken'!$U48</f>
        <v>0</v>
      </c>
      <c r="M84" s="212">
        <f>VLOOKUP('Strookvormig proefvlak '!$F$5,Parameters!$B$127:$U$142,12,FALSE)*M94</f>
        <v>4.2779999999999996</v>
      </c>
      <c r="N84" s="211">
        <f>PI()*B84*B84*'Strookvormig proefvlak '!D24</f>
        <v>0</v>
      </c>
    </row>
    <row r="85" spans="2:14" x14ac:dyDescent="0.25">
      <c r="B85" s="200">
        <f t="shared" si="5"/>
        <v>0.19894367886486919</v>
      </c>
      <c r="C85" s="51">
        <f>125/100</f>
        <v>1.25</v>
      </c>
      <c r="D85" s="128" t="s">
        <v>50</v>
      </c>
      <c r="E85" s="156">
        <f>PI()*($B85)*($B85)*'Concentrische proefvlakken'!$C21</f>
        <v>0</v>
      </c>
      <c r="F85" s="152">
        <f>PI()*($B85)*($B85)*'Concentrische proefvlakken'!$I21</f>
        <v>0</v>
      </c>
      <c r="G85" s="152">
        <f>PI()*($B85)*($B85)*'Concentrische proefvlakken'!$O21</f>
        <v>0</v>
      </c>
      <c r="H85" s="152">
        <f>PI()*($B85/2)*($B85/2)*'Concentrische proefvlakken'!U21</f>
        <v>0</v>
      </c>
      <c r="I85" s="152">
        <f>PI()*($B85)*($B85)*'Concentrische proefvlakken'!$C49</f>
        <v>0</v>
      </c>
      <c r="J85" s="152">
        <f>PI()*($B85)*($B85)*'Concentrische proefvlakken'!$I49</f>
        <v>0</v>
      </c>
      <c r="K85" s="152">
        <f>PI()*($B85)*($B85)*'Concentrische proefvlakken'!$O49</f>
        <v>0</v>
      </c>
      <c r="L85" s="157">
        <f>PI()*($B85)*($B85)*'Concentrische proefvlakken'!$U49</f>
        <v>0</v>
      </c>
      <c r="M85" s="212">
        <f>VLOOKUP('Strookvormig proefvlak '!$F$5,Parameters!$B$127:$U$142,13,FALSE)*M94</f>
        <v>4.2779999999999996</v>
      </c>
      <c r="N85" s="211">
        <f>PI()*B85*B85*'Strookvormig proefvlak '!D25</f>
        <v>0</v>
      </c>
    </row>
    <row r="86" spans="2:14" x14ac:dyDescent="0.25">
      <c r="B86" s="200">
        <f t="shared" si="5"/>
        <v>0.21485917317405873</v>
      </c>
      <c r="C86" s="51">
        <f>135/100</f>
        <v>1.35</v>
      </c>
      <c r="D86" s="128" t="s">
        <v>51</v>
      </c>
      <c r="E86" s="156">
        <f>PI()*($B86)*($B86)*'Concentrische proefvlakken'!$C22</f>
        <v>0</v>
      </c>
      <c r="F86" s="152">
        <f>PI()*($B86)*($B86)*'Concentrische proefvlakken'!$I22</f>
        <v>0</v>
      </c>
      <c r="G86" s="152">
        <f>PI()*($B86)*($B86)*'Concentrische proefvlakken'!$O22</f>
        <v>0</v>
      </c>
      <c r="H86" s="152">
        <f>PI()*($B86/2)*($B86/2)*'Concentrische proefvlakken'!U22</f>
        <v>0</v>
      </c>
      <c r="I86" s="152">
        <f>PI()*($B86)*($B86)*'Concentrische proefvlakken'!$C50</f>
        <v>0</v>
      </c>
      <c r="J86" s="152">
        <f>PI()*($B86)*($B86)*'Concentrische proefvlakken'!$I50</f>
        <v>0</v>
      </c>
      <c r="K86" s="152">
        <f>PI()*($B86)*($B86)*'Concentrische proefvlakken'!$O50</f>
        <v>0</v>
      </c>
      <c r="L86" s="157">
        <f>PI()*($B86)*($B86)*'Concentrische proefvlakken'!$U50</f>
        <v>0</v>
      </c>
      <c r="M86" s="212">
        <f>VLOOKUP('Strookvormig proefvlak '!$F$5,Parameters!$B$127:$U$142,14,FALSE)*M94</f>
        <v>4.9909999999999997</v>
      </c>
      <c r="N86" s="211">
        <f>PI()*B86*B86*'Strookvormig proefvlak '!D26</f>
        <v>0</v>
      </c>
    </row>
    <row r="87" spans="2:14" x14ac:dyDescent="0.25">
      <c r="B87" s="200">
        <f t="shared" si="5"/>
        <v>0.23077466748324824</v>
      </c>
      <c r="C87" s="51">
        <f>145/100</f>
        <v>1.45</v>
      </c>
      <c r="D87" s="128" t="s">
        <v>52</v>
      </c>
      <c r="E87" s="156">
        <f>PI()*($B87)*($B87)*'Concentrische proefvlakken'!$C23</f>
        <v>0</v>
      </c>
      <c r="F87" s="152">
        <f>PI()*($B87)*($B87)*'Concentrische proefvlakken'!$I23</f>
        <v>0</v>
      </c>
      <c r="G87" s="152">
        <f>PI()*($B87)*($B87)*'Concentrische proefvlakken'!$O23</f>
        <v>0</v>
      </c>
      <c r="H87" s="152">
        <f>PI()*($B87/2)*($B87/2)*'Concentrische proefvlakken'!U23</f>
        <v>0</v>
      </c>
      <c r="I87" s="152">
        <f>PI()*($B87)*($B87)*'Concentrische proefvlakken'!$C51</f>
        <v>0</v>
      </c>
      <c r="J87" s="152">
        <f>PI()*($B87)*($B87)*'Concentrische proefvlakken'!$I51</f>
        <v>0</v>
      </c>
      <c r="K87" s="152">
        <f>PI()*($B87)*($B87)*'Concentrische proefvlakken'!$O51</f>
        <v>0</v>
      </c>
      <c r="L87" s="157">
        <f>PI()*($B87)*($B87)*'Concentrische proefvlakken'!$U51</f>
        <v>0</v>
      </c>
      <c r="M87" s="212">
        <f>VLOOKUP('Strookvormig proefvlak '!$F$5,Parameters!$B$127:$U$142,15,FALSE)*M94</f>
        <v>4.9909999999999997</v>
      </c>
      <c r="N87" s="211">
        <f>PI()*B87*B87*'Strookvormig proefvlak '!D27</f>
        <v>0</v>
      </c>
    </row>
    <row r="88" spans="2:14" x14ac:dyDescent="0.25">
      <c r="B88" s="200">
        <f t="shared" si="5"/>
        <v>0.2466901617924378</v>
      </c>
      <c r="C88" s="51">
        <f>155/100</f>
        <v>1.55</v>
      </c>
      <c r="D88" s="128" t="s">
        <v>53</v>
      </c>
      <c r="E88" s="156">
        <f>PI()*($B88)*($B88)*'Concentrische proefvlakken'!$C24</f>
        <v>0</v>
      </c>
      <c r="F88" s="152">
        <f>PI()*($B88)*($B88)*'Concentrische proefvlakken'!$I24</f>
        <v>0</v>
      </c>
      <c r="G88" s="152">
        <f>PI()*($B88)*($B88)*'Concentrische proefvlakken'!$O24</f>
        <v>0</v>
      </c>
      <c r="H88" s="152">
        <f>PI()*($B88/2)*($B88/2)*'Concentrische proefvlakken'!U24</f>
        <v>0</v>
      </c>
      <c r="I88" s="152">
        <f>PI()*($B88)*($B88)*'Concentrische proefvlakken'!$C52</f>
        <v>0</v>
      </c>
      <c r="J88" s="152">
        <f>PI()*($B88)*($B88)*'Concentrische proefvlakken'!$I52</f>
        <v>0</v>
      </c>
      <c r="K88" s="152">
        <f>PI()*($B88)*($B88)*'Concentrische proefvlakken'!$O52</f>
        <v>0</v>
      </c>
      <c r="L88" s="157">
        <f>PI()*($B88)*($B88)*'Concentrische proefvlakken'!$U52</f>
        <v>0</v>
      </c>
      <c r="M88" s="212">
        <f>VLOOKUP('Strookvormig proefvlak '!$F$5,Parameters!$B$127:$U$142,16,FALSE)*M94</f>
        <v>5.7039999999999997</v>
      </c>
      <c r="N88" s="211">
        <f>PI()*B88*B88*'Strookvormig proefvlak '!D28</f>
        <v>0</v>
      </c>
    </row>
    <row r="89" spans="2:14" x14ac:dyDescent="0.25">
      <c r="B89" s="200">
        <f t="shared" si="5"/>
        <v>0.26260565610162728</v>
      </c>
      <c r="C89" s="51">
        <f>165/100</f>
        <v>1.65</v>
      </c>
      <c r="D89" s="128" t="s">
        <v>54</v>
      </c>
      <c r="E89" s="156">
        <f>PI()*($B89)*($B89)*'Concentrische proefvlakken'!$C25</f>
        <v>0</v>
      </c>
      <c r="F89" s="152">
        <f>PI()*($B89)*($B89)*'Concentrische proefvlakken'!$I25</f>
        <v>0</v>
      </c>
      <c r="G89" s="152">
        <f>PI()*($B89)*($B89)*'Concentrische proefvlakken'!$O25</f>
        <v>0</v>
      </c>
      <c r="H89" s="152">
        <f>PI()*($B89/2)*($B89/2)*'Concentrische proefvlakken'!U25</f>
        <v>0</v>
      </c>
      <c r="I89" s="152">
        <f>PI()*($B89)*($B89)*'Concentrische proefvlakken'!$C53</f>
        <v>0</v>
      </c>
      <c r="J89" s="152">
        <f>PI()*($B89)*($B89)*'Concentrische proefvlakken'!$I53</f>
        <v>0</v>
      </c>
      <c r="K89" s="152">
        <f>PI()*($B89)*($B89)*'Concentrische proefvlakken'!$O53</f>
        <v>0</v>
      </c>
      <c r="L89" s="157">
        <f>PI()*($B89)*($B89)*'Concentrische proefvlakken'!$U53</f>
        <v>0</v>
      </c>
      <c r="M89" s="212">
        <f>VLOOKUP('Strookvormig proefvlak '!$F$5,Parameters!$B$127:$U$142,17,FALSE)*M94</f>
        <v>5.7039999999999997</v>
      </c>
      <c r="N89" s="211">
        <f>PI()*B89*B89*'Strookvormig proefvlak '!D29</f>
        <v>0</v>
      </c>
    </row>
    <row r="90" spans="2:14" x14ac:dyDescent="0.25">
      <c r="B90" s="200">
        <f t="shared" si="5"/>
        <v>0.27852115041081688</v>
      </c>
      <c r="C90" s="51">
        <f>175/100</f>
        <v>1.75</v>
      </c>
      <c r="D90" s="128" t="s">
        <v>55</v>
      </c>
      <c r="E90" s="156">
        <f>PI()*($B90)*($B90)*'Concentrische proefvlakken'!$C26</f>
        <v>0</v>
      </c>
      <c r="F90" s="152">
        <f>PI()*($B90)*($B90)*'Concentrische proefvlakken'!$I26</f>
        <v>0</v>
      </c>
      <c r="G90" s="152">
        <f>PI()*($B90)*($B90)*'Concentrische proefvlakken'!$O26</f>
        <v>0</v>
      </c>
      <c r="H90" s="152">
        <f>PI()*($B90/2)*($B90/2)*'Concentrische proefvlakken'!U26</f>
        <v>0</v>
      </c>
      <c r="I90" s="152">
        <f>PI()*($B90)*($B90)*'Concentrische proefvlakken'!$C54</f>
        <v>0</v>
      </c>
      <c r="J90" s="152">
        <f>PI()*($B90)*($B90)*'Concentrische proefvlakken'!$I54</f>
        <v>0</v>
      </c>
      <c r="K90" s="152">
        <f>PI()*($B90)*($B90)*'Concentrische proefvlakken'!$O54</f>
        <v>0</v>
      </c>
      <c r="L90" s="157">
        <f>PI()*($B90)*($B90)*'Concentrische proefvlakken'!$U54</f>
        <v>0</v>
      </c>
      <c r="M90" s="212">
        <f>VLOOKUP('Strookvormig proefvlak '!$F$5,Parameters!$B$127:$U$142,18,FALSE)*M94</f>
        <v>5.7039999999999997</v>
      </c>
      <c r="N90" s="211">
        <f>PI()*B90*B90*'Strookvormig proefvlak '!D30</f>
        <v>0</v>
      </c>
    </row>
    <row r="91" spans="2:14" x14ac:dyDescent="0.25">
      <c r="B91" s="200">
        <f t="shared" si="5"/>
        <v>0.29443664472000641</v>
      </c>
      <c r="C91" s="51">
        <f>185/100</f>
        <v>1.85</v>
      </c>
      <c r="D91" s="128" t="s">
        <v>56</v>
      </c>
      <c r="E91" s="156">
        <f>PI()*($B91)*($B91)*'Concentrische proefvlakken'!$C27</f>
        <v>0</v>
      </c>
      <c r="F91" s="152">
        <f>PI()*($B91)*($B91)*'Concentrische proefvlakken'!$I27</f>
        <v>0</v>
      </c>
      <c r="G91" s="152">
        <f>PI()*($B91)*($B91)*'Concentrische proefvlakken'!$O27</f>
        <v>0</v>
      </c>
      <c r="H91" s="152">
        <f>PI()*($B91/2)*($B91/2)*'Concentrische proefvlakken'!U27</f>
        <v>0</v>
      </c>
      <c r="I91" s="152">
        <f>PI()*($B91)*($B91)*'Concentrische proefvlakken'!$C55</f>
        <v>0</v>
      </c>
      <c r="J91" s="152">
        <f>PI()*($B91)*($B91)*'Concentrische proefvlakken'!$I55</f>
        <v>0</v>
      </c>
      <c r="K91" s="152">
        <f>PI()*($B91)*($B91)*'Concentrische proefvlakken'!$O55</f>
        <v>0</v>
      </c>
      <c r="L91" s="157">
        <f>PI()*($B91)*($B91)*'Concentrische proefvlakken'!$U55</f>
        <v>0</v>
      </c>
      <c r="M91" s="212">
        <f>VLOOKUP('Strookvormig proefvlak '!$F$5,Parameters!$B$127:$U$142,19,FALSE)*M94</f>
        <v>7.13</v>
      </c>
      <c r="N91" s="211">
        <f>PI()*B91*B91*'Strookvormig proefvlak '!D31</f>
        <v>0</v>
      </c>
    </row>
    <row r="92" spans="2:14" ht="15.75" thickBot="1" x14ac:dyDescent="0.3">
      <c r="B92" s="200">
        <f t="shared" si="5"/>
        <v>0.31035213902919589</v>
      </c>
      <c r="C92" s="51">
        <f>195/100</f>
        <v>1.95</v>
      </c>
      <c r="D92" s="128" t="s">
        <v>57</v>
      </c>
      <c r="E92" s="158">
        <f>PI()*($B92)*($B92)*'Concentrische proefvlakken'!$C28</f>
        <v>0</v>
      </c>
      <c r="F92" s="159">
        <f>PI()*($B92)*($B92)*'Concentrische proefvlakken'!$I28</f>
        <v>0</v>
      </c>
      <c r="G92" s="159">
        <f>PI()*($B92)*($B92)*'Concentrische proefvlakken'!$O28</f>
        <v>0</v>
      </c>
      <c r="H92" s="159">
        <f>PI()*($B92/2)*($B92/2)*'Concentrische proefvlakken'!U28</f>
        <v>0</v>
      </c>
      <c r="I92" s="159">
        <f>PI()*($B92)*($B92)*'Concentrische proefvlakken'!$C56</f>
        <v>0</v>
      </c>
      <c r="J92" s="159">
        <f>PI()*($B92)*($B92)*'Concentrische proefvlakken'!$I56</f>
        <v>0</v>
      </c>
      <c r="K92" s="159">
        <f>PI()*($B92)*($B92)*'Concentrische proefvlakken'!$O56</f>
        <v>0</v>
      </c>
      <c r="L92" s="160">
        <f>PI()*($B92)*($B92)*'Concentrische proefvlakken'!$U56</f>
        <v>0</v>
      </c>
      <c r="M92" s="212">
        <f>VLOOKUP('Strookvormig proefvlak '!$F$5,Parameters!$B$127:$U$142,20,FALSE)*M94</f>
        <v>7.13</v>
      </c>
      <c r="N92" s="211">
        <f>PI()*B92*B92*'Strookvormig proefvlak '!D32</f>
        <v>0</v>
      </c>
    </row>
    <row r="93" spans="2:14" ht="15.75" thickBot="1" x14ac:dyDescent="0.3">
      <c r="B93" s="199"/>
      <c r="C93" s="149"/>
      <c r="D93" s="71"/>
      <c r="E93" s="151">
        <f t="shared" ref="E93:L93" si="6">SUM(E74:E92)</f>
        <v>0</v>
      </c>
      <c r="F93" s="151">
        <f t="shared" si="6"/>
        <v>0</v>
      </c>
      <c r="G93" s="151">
        <f t="shared" si="6"/>
        <v>0</v>
      </c>
      <c r="H93" s="151">
        <f t="shared" si="6"/>
        <v>0</v>
      </c>
      <c r="I93" s="151">
        <f t="shared" si="6"/>
        <v>0</v>
      </c>
      <c r="J93" s="151">
        <f t="shared" si="6"/>
        <v>0</v>
      </c>
      <c r="K93" s="151">
        <f t="shared" si="6"/>
        <v>0</v>
      </c>
      <c r="L93" s="161">
        <f t="shared" si="6"/>
        <v>0</v>
      </c>
      <c r="M93" s="267"/>
      <c r="N93" s="271"/>
    </row>
    <row r="94" spans="2:14" ht="15.75" thickBot="1" x14ac:dyDescent="0.3">
      <c r="D94" s="101" t="s">
        <v>86</v>
      </c>
      <c r="E94" s="304" t="e">
        <f>(SUM(E93:L93)/'Concentrische proefvlakken'!S5*100)</f>
        <v>#DIV/0!</v>
      </c>
      <c r="F94" s="305"/>
      <c r="G94" s="305"/>
      <c r="H94" s="305"/>
      <c r="I94" s="305"/>
      <c r="J94" s="305"/>
      <c r="K94" s="305"/>
      <c r="L94" s="306"/>
      <c r="M94" s="268">
        <f>VLOOKUP(N95,B127:V142,21,FALSE)</f>
        <v>1.4259999999999999</v>
      </c>
      <c r="N94" s="276">
        <f>SUM(N74:N92)</f>
        <v>0</v>
      </c>
    </row>
    <row r="95" spans="2:14" ht="15.75" thickBot="1" x14ac:dyDescent="0.3">
      <c r="N95" s="268" t="str">
        <f>'Strookvormig proefvlak '!F5</f>
        <v>Berk</v>
      </c>
    </row>
    <row r="96" spans="2:14" ht="15.75" thickBot="1" x14ac:dyDescent="0.3"/>
    <row r="97" spans="2:12" ht="15.75" thickBot="1" x14ac:dyDescent="0.3">
      <c r="B97" s="231" t="s">
        <v>116</v>
      </c>
      <c r="C97" s="232"/>
      <c r="D97" s="232"/>
      <c r="E97" s="232"/>
      <c r="F97" s="232"/>
      <c r="G97" s="232"/>
      <c r="H97" s="232"/>
      <c r="I97" s="232"/>
      <c r="J97" s="232"/>
      <c r="K97" s="232"/>
      <c r="L97" s="233"/>
    </row>
    <row r="98" spans="2:12" ht="15.75" thickBot="1" x14ac:dyDescent="0.3">
      <c r="B98" s="162" t="s">
        <v>109</v>
      </c>
      <c r="C98" s="299" t="s">
        <v>87</v>
      </c>
      <c r="D98" s="312"/>
      <c r="E98" s="102" t="s">
        <v>63</v>
      </c>
      <c r="F98" s="103" t="s">
        <v>64</v>
      </c>
      <c r="G98" s="103" t="s">
        <v>65</v>
      </c>
      <c r="H98" s="103" t="s">
        <v>66</v>
      </c>
      <c r="I98" s="103" t="s">
        <v>67</v>
      </c>
      <c r="J98" s="103" t="s">
        <v>68</v>
      </c>
      <c r="K98" s="103" t="s">
        <v>69</v>
      </c>
      <c r="L98" s="150" t="s">
        <v>70</v>
      </c>
    </row>
    <row r="99" spans="2:12" x14ac:dyDescent="0.25">
      <c r="B99" s="201">
        <f>(C99/PI())</f>
        <v>4.7746482927568598E-2</v>
      </c>
      <c r="C99" s="51">
        <f>15/100</f>
        <v>0.15</v>
      </c>
      <c r="D99" s="263" t="s">
        <v>124</v>
      </c>
      <c r="E99" s="235">
        <f>'Concentrische proefvlakken'!$B10*'Concentrische proefvlakken'!$C10</f>
        <v>0</v>
      </c>
      <c r="F99" s="234">
        <f>'Concentrische proefvlakken'!$H10*'Concentrische proefvlakken'!$I10</f>
        <v>0</v>
      </c>
      <c r="G99" s="234">
        <f>'Concentrische proefvlakken'!$N10*'Concentrische proefvlakken'!$O10</f>
        <v>0</v>
      </c>
      <c r="H99" s="234">
        <f>'Concentrische proefvlakken'!$T10*'Concentrische proefvlakken'!$U10</f>
        <v>0</v>
      </c>
      <c r="I99" s="234">
        <f>'Concentrische proefvlakken'!$B38*'Concentrische proefvlakken'!$C38</f>
        <v>0</v>
      </c>
      <c r="J99" s="234">
        <f>'Concentrische proefvlakken'!$H38*'Concentrische proefvlakken'!$I38</f>
        <v>0</v>
      </c>
      <c r="K99" s="234">
        <f>'Concentrische proefvlakken'!$N38*'Concentrische proefvlakken'!$O38</f>
        <v>0</v>
      </c>
      <c r="L99" s="236">
        <f>'Concentrische proefvlakken'!$T38*'Concentrische proefvlakken'!$U38</f>
        <v>0</v>
      </c>
    </row>
    <row r="100" spans="2:12" x14ac:dyDescent="0.25">
      <c r="B100" s="200">
        <f t="shared" ref="B100:B117" si="7">(C100/PI())</f>
        <v>7.9577471545947673E-2</v>
      </c>
      <c r="C100" s="51">
        <f>25/100</f>
        <v>0.25</v>
      </c>
      <c r="D100" s="128" t="s">
        <v>40</v>
      </c>
      <c r="E100" s="168">
        <f>'Concentrische proefvlakken'!$B11*'Concentrische proefvlakken'!$C11</f>
        <v>0</v>
      </c>
      <c r="F100" s="163">
        <f>'Concentrische proefvlakken'!$H11*'Concentrische proefvlakken'!$I11</f>
        <v>0</v>
      </c>
      <c r="G100" s="163">
        <f>'Concentrische proefvlakken'!$N11*'Concentrische proefvlakken'!$O11</f>
        <v>0</v>
      </c>
      <c r="H100" s="163">
        <f>'Concentrische proefvlakken'!$T11*'Concentrische proefvlakken'!$U11</f>
        <v>0</v>
      </c>
      <c r="I100" s="163">
        <f>'Concentrische proefvlakken'!$B39*'Concentrische proefvlakken'!$C39</f>
        <v>0</v>
      </c>
      <c r="J100" s="163">
        <f>'Concentrische proefvlakken'!$H39*'Concentrische proefvlakken'!$I39</f>
        <v>0</v>
      </c>
      <c r="K100" s="163">
        <f>'Concentrische proefvlakken'!$N39*'Concentrische proefvlakken'!$O39</f>
        <v>0</v>
      </c>
      <c r="L100" s="237">
        <f>'Concentrische proefvlakken'!$T39*'Concentrische proefvlakken'!$U39</f>
        <v>0</v>
      </c>
    </row>
    <row r="101" spans="2:12" x14ac:dyDescent="0.25">
      <c r="B101" s="200">
        <f t="shared" si="7"/>
        <v>0.11140846016432673</v>
      </c>
      <c r="C101" s="51">
        <f>35/100</f>
        <v>0.35</v>
      </c>
      <c r="D101" s="128" t="s">
        <v>41</v>
      </c>
      <c r="E101" s="168">
        <f>'Concentrische proefvlakken'!$B12*'Concentrische proefvlakken'!$C12</f>
        <v>0</v>
      </c>
      <c r="F101" s="163">
        <f>'Concentrische proefvlakken'!$H12*'Concentrische proefvlakken'!$I12</f>
        <v>0</v>
      </c>
      <c r="G101" s="163">
        <f>'Concentrische proefvlakken'!$N12*'Concentrische proefvlakken'!$O12</f>
        <v>0</v>
      </c>
      <c r="H101" s="163">
        <f>'Concentrische proefvlakken'!$T12*'Concentrische proefvlakken'!$U12</f>
        <v>0</v>
      </c>
      <c r="I101" s="163">
        <f>'Concentrische proefvlakken'!$B40*'Concentrische proefvlakken'!$C40</f>
        <v>0</v>
      </c>
      <c r="J101" s="163">
        <f>'Concentrische proefvlakken'!$H40*'Concentrische proefvlakken'!$I40</f>
        <v>0</v>
      </c>
      <c r="K101" s="163">
        <f>'Concentrische proefvlakken'!$N40*'Concentrische proefvlakken'!$O40</f>
        <v>0</v>
      </c>
      <c r="L101" s="237">
        <f>'Concentrische proefvlakken'!$T40*'Concentrische proefvlakken'!$U40</f>
        <v>0</v>
      </c>
    </row>
    <row r="102" spans="2:12" x14ac:dyDescent="0.25">
      <c r="B102" s="200">
        <f t="shared" si="7"/>
        <v>0.14323944878270581</v>
      </c>
      <c r="C102" s="51">
        <f>45/100</f>
        <v>0.45</v>
      </c>
      <c r="D102" s="128" t="s">
        <v>42</v>
      </c>
      <c r="E102" s="168">
        <f>'Concentrische proefvlakken'!$B13*'Concentrische proefvlakken'!$C13</f>
        <v>0</v>
      </c>
      <c r="F102" s="163">
        <f>'Concentrische proefvlakken'!$H13*'Concentrische proefvlakken'!$I13</f>
        <v>0</v>
      </c>
      <c r="G102" s="163">
        <f>'Concentrische proefvlakken'!$N13*'Concentrische proefvlakken'!$O13</f>
        <v>0</v>
      </c>
      <c r="H102" s="163">
        <f>'Concentrische proefvlakken'!$T13*'Concentrische proefvlakken'!$U13</f>
        <v>0</v>
      </c>
      <c r="I102" s="163">
        <f>'Concentrische proefvlakken'!$B41*'Concentrische proefvlakken'!$C41</f>
        <v>0</v>
      </c>
      <c r="J102" s="163">
        <f>'Concentrische proefvlakken'!$H41*'Concentrische proefvlakken'!$I41</f>
        <v>0</v>
      </c>
      <c r="K102" s="163">
        <f>'Concentrische proefvlakken'!$N41*'Concentrische proefvlakken'!$O41</f>
        <v>0</v>
      </c>
      <c r="L102" s="237">
        <f>'Concentrische proefvlakken'!$T41*'Concentrische proefvlakken'!$U41</f>
        <v>0</v>
      </c>
    </row>
    <row r="103" spans="2:12" x14ac:dyDescent="0.25">
      <c r="B103" s="200">
        <f t="shared" si="7"/>
        <v>0.17507043740108488</v>
      </c>
      <c r="C103" s="51">
        <f>55/100</f>
        <v>0.55000000000000004</v>
      </c>
      <c r="D103" s="128" t="s">
        <v>43</v>
      </c>
      <c r="E103" s="168">
        <f>'Concentrische proefvlakken'!$B14*'Concentrische proefvlakken'!$C14</f>
        <v>0</v>
      </c>
      <c r="F103" s="163">
        <f>'Concentrische proefvlakken'!$H14*'Concentrische proefvlakken'!$I14</f>
        <v>0</v>
      </c>
      <c r="G103" s="163">
        <f>'Concentrische proefvlakken'!$N14*'Concentrische proefvlakken'!$O14</f>
        <v>0</v>
      </c>
      <c r="H103" s="163">
        <f>'Concentrische proefvlakken'!$T14*'Concentrische proefvlakken'!$U14</f>
        <v>0</v>
      </c>
      <c r="I103" s="163">
        <f>'Concentrische proefvlakken'!$B42*'Concentrische proefvlakken'!$C42</f>
        <v>0</v>
      </c>
      <c r="J103" s="163">
        <f>'Concentrische proefvlakken'!$H42*'Concentrische proefvlakken'!$I42</f>
        <v>0</v>
      </c>
      <c r="K103" s="163">
        <f>'Concentrische proefvlakken'!$N42*'Concentrische proefvlakken'!$O42</f>
        <v>0</v>
      </c>
      <c r="L103" s="237">
        <f>'Concentrische proefvlakken'!$T42*'Concentrische proefvlakken'!$U42</f>
        <v>0</v>
      </c>
    </row>
    <row r="104" spans="2:12" x14ac:dyDescent="0.25">
      <c r="B104" s="200">
        <f t="shared" si="7"/>
        <v>0.20690142601946396</v>
      </c>
      <c r="C104" s="51">
        <f>65/100</f>
        <v>0.65</v>
      </c>
      <c r="D104" s="128" t="s">
        <v>44</v>
      </c>
      <c r="E104" s="168">
        <f>'Concentrische proefvlakken'!$B15*'Concentrische proefvlakken'!$C15</f>
        <v>0</v>
      </c>
      <c r="F104" s="163">
        <f>'Concentrische proefvlakken'!$H15*'Concentrische proefvlakken'!$I15</f>
        <v>0</v>
      </c>
      <c r="G104" s="163">
        <f>'Concentrische proefvlakken'!$N15*'Concentrische proefvlakken'!$O15</f>
        <v>0</v>
      </c>
      <c r="H104" s="163">
        <f>'Concentrische proefvlakken'!$T15*'Concentrische proefvlakken'!$U15</f>
        <v>0</v>
      </c>
      <c r="I104" s="163">
        <f>'Concentrische proefvlakken'!$B43*'Concentrische proefvlakken'!$C43</f>
        <v>0</v>
      </c>
      <c r="J104" s="163">
        <f>'Concentrische proefvlakken'!$H43*'Concentrische proefvlakken'!$I43</f>
        <v>0</v>
      </c>
      <c r="K104" s="163">
        <f>'Concentrische proefvlakken'!$N43*'Concentrische proefvlakken'!$O43</f>
        <v>0</v>
      </c>
      <c r="L104" s="237">
        <f>'Concentrische proefvlakken'!$T43*'Concentrische proefvlakken'!$U43</f>
        <v>0</v>
      </c>
    </row>
    <row r="105" spans="2:12" x14ac:dyDescent="0.25">
      <c r="B105" s="200">
        <f t="shared" si="7"/>
        <v>0.238732414637843</v>
      </c>
      <c r="C105" s="51">
        <f>75/100</f>
        <v>0.75</v>
      </c>
      <c r="D105" s="128" t="s">
        <v>45</v>
      </c>
      <c r="E105" s="168">
        <f>'Concentrische proefvlakken'!$B16*'Concentrische proefvlakken'!$C16</f>
        <v>0</v>
      </c>
      <c r="F105" s="163">
        <f>'Concentrische proefvlakken'!$H16*'Concentrische proefvlakken'!$I16</f>
        <v>0</v>
      </c>
      <c r="G105" s="163">
        <f>'Concentrische proefvlakken'!$N16*'Concentrische proefvlakken'!$O16</f>
        <v>0</v>
      </c>
      <c r="H105" s="163">
        <f>'Concentrische proefvlakken'!$T16*'Concentrische proefvlakken'!$U16</f>
        <v>0</v>
      </c>
      <c r="I105" s="163">
        <f>'Concentrische proefvlakken'!$B44*'Concentrische proefvlakken'!$C44</f>
        <v>0</v>
      </c>
      <c r="J105" s="163">
        <f>'Concentrische proefvlakken'!$H44*'Concentrische proefvlakken'!$I44</f>
        <v>0</v>
      </c>
      <c r="K105" s="163">
        <f>'Concentrische proefvlakken'!$N44*'Concentrische proefvlakken'!$O44</f>
        <v>0</v>
      </c>
      <c r="L105" s="237">
        <f>'Concentrische proefvlakken'!$T44*'Concentrische proefvlakken'!$U44</f>
        <v>0</v>
      </c>
    </row>
    <row r="106" spans="2:12" x14ac:dyDescent="0.25">
      <c r="B106" s="200">
        <f t="shared" si="7"/>
        <v>0.27056340325622208</v>
      </c>
      <c r="C106" s="51">
        <f>85/100</f>
        <v>0.85</v>
      </c>
      <c r="D106" s="128" t="s">
        <v>46</v>
      </c>
      <c r="E106" s="168">
        <f>'Concentrische proefvlakken'!$B17*'Concentrische proefvlakken'!$C17</f>
        <v>0</v>
      </c>
      <c r="F106" s="163">
        <f>'Concentrische proefvlakken'!$H17*'Concentrische proefvlakken'!$I17</f>
        <v>0</v>
      </c>
      <c r="G106" s="163">
        <f>'Concentrische proefvlakken'!$N17*'Concentrische proefvlakken'!$O17</f>
        <v>0</v>
      </c>
      <c r="H106" s="163">
        <f>'Concentrische proefvlakken'!$T17*'Concentrische proefvlakken'!$U17</f>
        <v>0</v>
      </c>
      <c r="I106" s="163">
        <f>'Concentrische proefvlakken'!$B45*'Concentrische proefvlakken'!$C45</f>
        <v>0</v>
      </c>
      <c r="J106" s="163">
        <f>'Concentrische proefvlakken'!$H45*'Concentrische proefvlakken'!$I45</f>
        <v>0</v>
      </c>
      <c r="K106" s="163">
        <f>'Concentrische proefvlakken'!$N45*'Concentrische proefvlakken'!$O45</f>
        <v>0</v>
      </c>
      <c r="L106" s="237">
        <f>'Concentrische proefvlakken'!$T45*'Concentrische proefvlakken'!$U45</f>
        <v>0</v>
      </c>
    </row>
    <row r="107" spans="2:12" x14ac:dyDescent="0.25">
      <c r="B107" s="200">
        <f t="shared" si="7"/>
        <v>0.30239439187460115</v>
      </c>
      <c r="C107" s="51">
        <f>95/100</f>
        <v>0.95</v>
      </c>
      <c r="D107" s="128" t="s">
        <v>47</v>
      </c>
      <c r="E107" s="168">
        <f>'Concentrische proefvlakken'!$B18*'Concentrische proefvlakken'!$C18</f>
        <v>0</v>
      </c>
      <c r="F107" s="163">
        <f>'Concentrische proefvlakken'!$H18*'Concentrische proefvlakken'!$I18</f>
        <v>0</v>
      </c>
      <c r="G107" s="163">
        <f>'Concentrische proefvlakken'!$N18*'Concentrische proefvlakken'!$O18</f>
        <v>0</v>
      </c>
      <c r="H107" s="163">
        <f>'Concentrische proefvlakken'!$T18*'Concentrische proefvlakken'!$U18</f>
        <v>0</v>
      </c>
      <c r="I107" s="163">
        <f>'Concentrische proefvlakken'!$B46*'Concentrische proefvlakken'!$C46</f>
        <v>0</v>
      </c>
      <c r="J107" s="163">
        <f>'Concentrische proefvlakken'!$H46*'Concentrische proefvlakken'!$I46</f>
        <v>0</v>
      </c>
      <c r="K107" s="163">
        <f>'Concentrische proefvlakken'!$N46*'Concentrische proefvlakken'!$O46</f>
        <v>0</v>
      </c>
      <c r="L107" s="237">
        <f>'Concentrische proefvlakken'!$T46*'Concentrische proefvlakken'!$U46</f>
        <v>0</v>
      </c>
    </row>
    <row r="108" spans="2:12" x14ac:dyDescent="0.25">
      <c r="B108" s="200">
        <f t="shared" si="7"/>
        <v>0.33422538049298023</v>
      </c>
      <c r="C108" s="51">
        <f>105/100</f>
        <v>1.05</v>
      </c>
      <c r="D108" s="128" t="s">
        <v>48</v>
      </c>
      <c r="E108" s="168">
        <f>'Concentrische proefvlakken'!$B19*'Concentrische proefvlakken'!$C19</f>
        <v>0</v>
      </c>
      <c r="F108" s="163">
        <f>'Concentrische proefvlakken'!$H19*'Concentrische proefvlakken'!$I19</f>
        <v>0</v>
      </c>
      <c r="G108" s="163">
        <f>'Concentrische proefvlakken'!$N19*'Concentrische proefvlakken'!$O19</f>
        <v>0</v>
      </c>
      <c r="H108" s="163">
        <f>'Concentrische proefvlakken'!$T19*'Concentrische proefvlakken'!$U19</f>
        <v>0</v>
      </c>
      <c r="I108" s="163">
        <f>'Concentrische proefvlakken'!$B47*'Concentrische proefvlakken'!$C47</f>
        <v>0</v>
      </c>
      <c r="J108" s="163">
        <f>'Concentrische proefvlakken'!$H47*'Concentrische proefvlakken'!$I47</f>
        <v>0</v>
      </c>
      <c r="K108" s="163">
        <f>'Concentrische proefvlakken'!$N47*'Concentrische proefvlakken'!$O47</f>
        <v>0</v>
      </c>
      <c r="L108" s="237">
        <f>'Concentrische proefvlakken'!$T47*'Concentrische proefvlakken'!$U47</f>
        <v>0</v>
      </c>
    </row>
    <row r="109" spans="2:12" x14ac:dyDescent="0.25">
      <c r="B109" s="200">
        <f t="shared" si="7"/>
        <v>0.36605636911135925</v>
      </c>
      <c r="C109" s="51">
        <f>115/100</f>
        <v>1.1499999999999999</v>
      </c>
      <c r="D109" s="128" t="s">
        <v>49</v>
      </c>
      <c r="E109" s="168">
        <f>'Concentrische proefvlakken'!$B20*'Concentrische proefvlakken'!$C20</f>
        <v>0</v>
      </c>
      <c r="F109" s="163">
        <f>'Concentrische proefvlakken'!$H20*'Concentrische proefvlakken'!$I20</f>
        <v>0</v>
      </c>
      <c r="G109" s="163">
        <f>'Concentrische proefvlakken'!$N20*'Concentrische proefvlakken'!$O20</f>
        <v>0</v>
      </c>
      <c r="H109" s="163">
        <f>'Concentrische proefvlakken'!$T20*'Concentrische proefvlakken'!$U20</f>
        <v>0</v>
      </c>
      <c r="I109" s="163">
        <f>'Concentrische proefvlakken'!$B48*'Concentrische proefvlakken'!$C48</f>
        <v>0</v>
      </c>
      <c r="J109" s="163">
        <f>'Concentrische proefvlakken'!$H48*'Concentrische proefvlakken'!$I48</f>
        <v>0</v>
      </c>
      <c r="K109" s="163">
        <f>'Concentrische proefvlakken'!$N48*'Concentrische proefvlakken'!$O48</f>
        <v>0</v>
      </c>
      <c r="L109" s="237">
        <f>'Concentrische proefvlakken'!$T48*'Concentrische proefvlakken'!$U48</f>
        <v>0</v>
      </c>
    </row>
    <row r="110" spans="2:12" x14ac:dyDescent="0.25">
      <c r="B110" s="200">
        <f t="shared" si="7"/>
        <v>0.39788735772973838</v>
      </c>
      <c r="C110" s="51">
        <f>125/100</f>
        <v>1.25</v>
      </c>
      <c r="D110" s="128" t="s">
        <v>50</v>
      </c>
      <c r="E110" s="168">
        <f>'Concentrische proefvlakken'!$B21*'Concentrische proefvlakken'!$C21</f>
        <v>0</v>
      </c>
      <c r="F110" s="163">
        <f>'Concentrische proefvlakken'!$H21*'Concentrische proefvlakken'!$I21</f>
        <v>0</v>
      </c>
      <c r="G110" s="163">
        <f>'Concentrische proefvlakken'!$N21*'Concentrische proefvlakken'!$O21</f>
        <v>0</v>
      </c>
      <c r="H110" s="163">
        <f>'Concentrische proefvlakken'!$T21*'Concentrische proefvlakken'!$U21</f>
        <v>0</v>
      </c>
      <c r="I110" s="163">
        <f>'Concentrische proefvlakken'!$B49*'Concentrische proefvlakken'!$C49</f>
        <v>0</v>
      </c>
      <c r="J110" s="163">
        <f>'Concentrische proefvlakken'!$H49*'Concentrische proefvlakken'!$I49</f>
        <v>0</v>
      </c>
      <c r="K110" s="163">
        <f>'Concentrische proefvlakken'!$N49*'Concentrische proefvlakken'!$O49</f>
        <v>0</v>
      </c>
      <c r="L110" s="237">
        <f>'Concentrische proefvlakken'!$T49*'Concentrische proefvlakken'!$U49</f>
        <v>0</v>
      </c>
    </row>
    <row r="111" spans="2:12" x14ac:dyDescent="0.25">
      <c r="B111" s="200">
        <f t="shared" si="7"/>
        <v>0.42971834634811745</v>
      </c>
      <c r="C111" s="51">
        <f>135/100</f>
        <v>1.35</v>
      </c>
      <c r="D111" s="128" t="s">
        <v>51</v>
      </c>
      <c r="E111" s="168">
        <f>'Concentrische proefvlakken'!$B22*'Concentrische proefvlakken'!$C22</f>
        <v>0</v>
      </c>
      <c r="F111" s="163">
        <f>'Concentrische proefvlakken'!$H22*'Concentrische proefvlakken'!$I22</f>
        <v>0</v>
      </c>
      <c r="G111" s="163">
        <f>'Concentrische proefvlakken'!$N22*'Concentrische proefvlakken'!$O22</f>
        <v>0</v>
      </c>
      <c r="H111" s="163">
        <f>'Concentrische proefvlakken'!$T22*'Concentrische proefvlakken'!$U22</f>
        <v>0</v>
      </c>
      <c r="I111" s="163">
        <f>'Concentrische proefvlakken'!$B50*'Concentrische proefvlakken'!$C50</f>
        <v>0</v>
      </c>
      <c r="J111" s="163">
        <f>'Concentrische proefvlakken'!$H50*'Concentrische proefvlakken'!$I50</f>
        <v>0</v>
      </c>
      <c r="K111" s="163">
        <f>'Concentrische proefvlakken'!$N50*'Concentrische proefvlakken'!$O50</f>
        <v>0</v>
      </c>
      <c r="L111" s="237">
        <f>'Concentrische proefvlakken'!$T50*'Concentrische proefvlakken'!$U50</f>
        <v>0</v>
      </c>
    </row>
    <row r="112" spans="2:12" x14ac:dyDescent="0.25">
      <c r="B112" s="200">
        <f t="shared" si="7"/>
        <v>0.46154933496649647</v>
      </c>
      <c r="C112" s="51">
        <f>145/100</f>
        <v>1.45</v>
      </c>
      <c r="D112" s="128" t="s">
        <v>52</v>
      </c>
      <c r="E112" s="168">
        <f>'Concentrische proefvlakken'!$B23*'Concentrische proefvlakken'!$C23</f>
        <v>0</v>
      </c>
      <c r="F112" s="163">
        <f>'Concentrische proefvlakken'!$H23*'Concentrische proefvlakken'!$I23</f>
        <v>0</v>
      </c>
      <c r="G112" s="163">
        <f>'Concentrische proefvlakken'!$N23*'Concentrische proefvlakken'!$O23</f>
        <v>0</v>
      </c>
      <c r="H112" s="163">
        <f>'Concentrische proefvlakken'!$T23*'Concentrische proefvlakken'!$U23</f>
        <v>0</v>
      </c>
      <c r="I112" s="163">
        <f>'Concentrische proefvlakken'!$B51*'Concentrische proefvlakken'!$C51</f>
        <v>0</v>
      </c>
      <c r="J112" s="163">
        <f>'Concentrische proefvlakken'!$H51*'Concentrische proefvlakken'!$I51</f>
        <v>0</v>
      </c>
      <c r="K112" s="163">
        <f>'Concentrische proefvlakken'!$N51*'Concentrische proefvlakken'!$O51</f>
        <v>0</v>
      </c>
      <c r="L112" s="237">
        <f>'Concentrische proefvlakken'!$T51*'Concentrische proefvlakken'!$U51</f>
        <v>0</v>
      </c>
    </row>
    <row r="113" spans="2:22" x14ac:dyDescent="0.25">
      <c r="B113" s="200">
        <f t="shared" si="7"/>
        <v>0.4933803235848756</v>
      </c>
      <c r="C113" s="51">
        <f>155/100</f>
        <v>1.55</v>
      </c>
      <c r="D113" s="128" t="s">
        <v>53</v>
      </c>
      <c r="E113" s="168">
        <f>'Concentrische proefvlakken'!$B24*'Concentrische proefvlakken'!$C24</f>
        <v>0</v>
      </c>
      <c r="F113" s="163">
        <f>'Concentrische proefvlakken'!$H24*'Concentrische proefvlakken'!$I24</f>
        <v>0</v>
      </c>
      <c r="G113" s="163">
        <f>'Concentrische proefvlakken'!$N24*'Concentrische proefvlakken'!$O24</f>
        <v>0</v>
      </c>
      <c r="H113" s="163">
        <f>'Concentrische proefvlakken'!$T24*'Concentrische proefvlakken'!$U24</f>
        <v>0</v>
      </c>
      <c r="I113" s="163">
        <f>'Concentrische proefvlakken'!$B52*'Concentrische proefvlakken'!$C52</f>
        <v>0</v>
      </c>
      <c r="J113" s="163">
        <f>'Concentrische proefvlakken'!$H52*'Concentrische proefvlakken'!$I52</f>
        <v>0</v>
      </c>
      <c r="K113" s="163">
        <f>'Concentrische proefvlakken'!$N52*'Concentrische proefvlakken'!$O52</f>
        <v>0</v>
      </c>
      <c r="L113" s="237">
        <f>'Concentrische proefvlakken'!$T52*'Concentrische proefvlakken'!$U52</f>
        <v>0</v>
      </c>
    </row>
    <row r="114" spans="2:22" x14ac:dyDescent="0.25">
      <c r="B114" s="200">
        <f t="shared" si="7"/>
        <v>0.52521131220325457</v>
      </c>
      <c r="C114" s="51">
        <f>165/100</f>
        <v>1.65</v>
      </c>
      <c r="D114" s="128" t="s">
        <v>54</v>
      </c>
      <c r="E114" s="168">
        <f>'Concentrische proefvlakken'!$B25*'Concentrische proefvlakken'!$C25</f>
        <v>0</v>
      </c>
      <c r="F114" s="163">
        <f>'Concentrische proefvlakken'!$H25*'Concentrische proefvlakken'!$I25</f>
        <v>0</v>
      </c>
      <c r="G114" s="163">
        <f>'Concentrische proefvlakken'!$N25*'Concentrische proefvlakken'!$O25</f>
        <v>0</v>
      </c>
      <c r="H114" s="163">
        <f>'Concentrische proefvlakken'!$T25*'Concentrische proefvlakken'!$U25</f>
        <v>0</v>
      </c>
      <c r="I114" s="163">
        <f>'Concentrische proefvlakken'!$B53*'Concentrische proefvlakken'!$C53</f>
        <v>0</v>
      </c>
      <c r="J114" s="163">
        <f>'Concentrische proefvlakken'!$H53*'Concentrische proefvlakken'!$I53</f>
        <v>0</v>
      </c>
      <c r="K114" s="163">
        <f>'Concentrische proefvlakken'!$N53*'Concentrische proefvlakken'!$O53</f>
        <v>0</v>
      </c>
      <c r="L114" s="237">
        <f>'Concentrische proefvlakken'!$T53*'Concentrische proefvlakken'!$U53</f>
        <v>0</v>
      </c>
    </row>
    <row r="115" spans="2:22" x14ac:dyDescent="0.25">
      <c r="B115" s="200">
        <f t="shared" si="7"/>
        <v>0.55704230082163375</v>
      </c>
      <c r="C115" s="51">
        <f>175/100</f>
        <v>1.75</v>
      </c>
      <c r="D115" s="128" t="s">
        <v>55</v>
      </c>
      <c r="E115" s="168">
        <f>'Concentrische proefvlakken'!$B26*'Concentrische proefvlakken'!$C26</f>
        <v>0</v>
      </c>
      <c r="F115" s="163">
        <f>'Concentrische proefvlakken'!$H26*'Concentrische proefvlakken'!$I26</f>
        <v>0</v>
      </c>
      <c r="G115" s="163">
        <f>'Concentrische proefvlakken'!$N26*'Concentrische proefvlakken'!$O26</f>
        <v>0</v>
      </c>
      <c r="H115" s="163">
        <f>'Concentrische proefvlakken'!$T26*'Concentrische proefvlakken'!$U26</f>
        <v>0</v>
      </c>
      <c r="I115" s="163">
        <f>'Concentrische proefvlakken'!$B54*'Concentrische proefvlakken'!$C54</f>
        <v>0</v>
      </c>
      <c r="J115" s="163">
        <f>'Concentrische proefvlakken'!$H54*'Concentrische proefvlakken'!$I54</f>
        <v>0</v>
      </c>
      <c r="K115" s="163">
        <f>'Concentrische proefvlakken'!$N54*'Concentrische proefvlakken'!$O54</f>
        <v>0</v>
      </c>
      <c r="L115" s="237">
        <f>'Concentrische proefvlakken'!$T54*'Concentrische proefvlakken'!$U54</f>
        <v>0</v>
      </c>
    </row>
    <row r="116" spans="2:22" x14ac:dyDescent="0.25">
      <c r="B116" s="200">
        <f t="shared" si="7"/>
        <v>0.58887328944001283</v>
      </c>
      <c r="C116" s="51">
        <f>185/100</f>
        <v>1.85</v>
      </c>
      <c r="D116" s="128" t="s">
        <v>56</v>
      </c>
      <c r="E116" s="168">
        <f>'Concentrische proefvlakken'!$B27*'Concentrische proefvlakken'!$C27</f>
        <v>0</v>
      </c>
      <c r="F116" s="163">
        <f>'Concentrische proefvlakken'!$H27*'Concentrische proefvlakken'!$I27</f>
        <v>0</v>
      </c>
      <c r="G116" s="163">
        <f>'Concentrische proefvlakken'!$N27*'Concentrische proefvlakken'!$O27</f>
        <v>0</v>
      </c>
      <c r="H116" s="163">
        <f>'Concentrische proefvlakken'!$T27*'Concentrische proefvlakken'!$U27</f>
        <v>0</v>
      </c>
      <c r="I116" s="163">
        <f>'Concentrische proefvlakken'!$B55*'Concentrische proefvlakken'!$C55</f>
        <v>0</v>
      </c>
      <c r="J116" s="163">
        <f>'Concentrische proefvlakken'!$H55*'Concentrische proefvlakken'!$I55</f>
        <v>0</v>
      </c>
      <c r="K116" s="163">
        <f>'Concentrische proefvlakken'!$N55*'Concentrische proefvlakken'!$O55</f>
        <v>0</v>
      </c>
      <c r="L116" s="237">
        <f>'Concentrische proefvlakken'!$T55*'Concentrische proefvlakken'!$U55</f>
        <v>0</v>
      </c>
    </row>
    <row r="117" spans="2:22" x14ac:dyDescent="0.25">
      <c r="B117" s="200">
        <f t="shared" si="7"/>
        <v>0.62070427805839179</v>
      </c>
      <c r="C117" s="51">
        <f>195/100</f>
        <v>1.95</v>
      </c>
      <c r="D117" s="128" t="s">
        <v>57</v>
      </c>
      <c r="E117" s="185">
        <f>'Concentrische proefvlakken'!$B28*'Concentrische proefvlakken'!$C28</f>
        <v>0</v>
      </c>
      <c r="F117" s="164">
        <f>'Concentrische proefvlakken'!$H28*'Concentrische proefvlakken'!$I28</f>
        <v>0</v>
      </c>
      <c r="G117" s="164">
        <f>'Concentrische proefvlakken'!$N28*'Concentrische proefvlakken'!$O28</f>
        <v>0</v>
      </c>
      <c r="H117" s="164">
        <f>'Concentrische proefvlakken'!$T28*'Concentrische proefvlakken'!$U28</f>
        <v>0</v>
      </c>
      <c r="I117" s="164">
        <f>'Concentrische proefvlakken'!$B56*'Concentrische proefvlakken'!$C56</f>
        <v>0</v>
      </c>
      <c r="J117" s="164">
        <f>'Concentrische proefvlakken'!$H56*'Concentrische proefvlakken'!$I56</f>
        <v>0</v>
      </c>
      <c r="K117" s="164">
        <f>'Concentrische proefvlakken'!$N56*'Concentrische proefvlakken'!$O56</f>
        <v>0</v>
      </c>
      <c r="L117" s="241">
        <f>'Concentrische proefvlakken'!$T56*'Concentrische proefvlakken'!$U56</f>
        <v>0</v>
      </c>
    </row>
    <row r="118" spans="2:22" ht="15.75" thickBot="1" x14ac:dyDescent="0.3">
      <c r="B118" s="202"/>
      <c r="C118" s="6"/>
      <c r="D118" s="71"/>
      <c r="E118" s="245">
        <f t="shared" ref="E118:L118" si="8">SUM(E99:E117)</f>
        <v>0</v>
      </c>
      <c r="F118" s="246">
        <f t="shared" si="8"/>
        <v>0</v>
      </c>
      <c r="G118" s="246">
        <f t="shared" si="8"/>
        <v>0</v>
      </c>
      <c r="H118" s="246">
        <f t="shared" si="8"/>
        <v>0</v>
      </c>
      <c r="I118" s="246">
        <f t="shared" si="8"/>
        <v>0</v>
      </c>
      <c r="J118" s="246">
        <f t="shared" si="8"/>
        <v>0</v>
      </c>
      <c r="K118" s="246">
        <f t="shared" si="8"/>
        <v>0</v>
      </c>
      <c r="L118" s="247">
        <f t="shared" si="8"/>
        <v>0</v>
      </c>
      <c r="M118" s="4"/>
    </row>
    <row r="119" spans="2:22" ht="15.75" thickBot="1" x14ac:dyDescent="0.3">
      <c r="C119" s="3"/>
      <c r="E119" s="230" t="e">
        <f>E118/'Concentrische proefvlakken'!E30</f>
        <v>#DIV/0!</v>
      </c>
      <c r="F119" s="230" t="e">
        <f>F118/'Concentrische proefvlakken'!K30</f>
        <v>#DIV/0!</v>
      </c>
      <c r="G119" s="230" t="e">
        <f>G118/'Concentrische proefvlakken'!Q30</f>
        <v>#DIV/0!</v>
      </c>
      <c r="H119" s="230" t="e">
        <f>H118/'Concentrische proefvlakken'!W30</f>
        <v>#DIV/0!</v>
      </c>
      <c r="I119" s="230" t="e">
        <f>I118/'Concentrische proefvlakken'!E58</f>
        <v>#DIV/0!</v>
      </c>
      <c r="J119" s="230" t="e">
        <f>J118/'Concentrische proefvlakken'!K58</f>
        <v>#DIV/0!</v>
      </c>
      <c r="K119" s="230" t="e">
        <f>K118/'Concentrische proefvlakken'!Q58</f>
        <v>#DIV/0!</v>
      </c>
      <c r="L119" s="239" t="e">
        <f>L118/'Concentrische proefvlakken'!W58</f>
        <v>#DIV/0!</v>
      </c>
    </row>
    <row r="120" spans="2:22" ht="15.75" thickBot="1" x14ac:dyDescent="0.3">
      <c r="C120" s="3"/>
      <c r="D120" s="104"/>
      <c r="E120" s="186">
        <f>IFERROR(E119,0)</f>
        <v>0</v>
      </c>
      <c r="F120" s="238">
        <f t="shared" ref="F120:L120" si="9">IFERROR(F119,0)</f>
        <v>0</v>
      </c>
      <c r="G120" s="238">
        <f t="shared" si="9"/>
        <v>0</v>
      </c>
      <c r="H120" s="238">
        <f t="shared" si="9"/>
        <v>0</v>
      </c>
      <c r="I120" s="238">
        <f t="shared" si="9"/>
        <v>0</v>
      </c>
      <c r="J120" s="238">
        <f t="shared" si="9"/>
        <v>0</v>
      </c>
      <c r="K120" s="238">
        <f t="shared" si="9"/>
        <v>0</v>
      </c>
      <c r="L120" s="240">
        <f t="shared" si="9"/>
        <v>0</v>
      </c>
    </row>
    <row r="121" spans="2:22" ht="15.75" thickBot="1" x14ac:dyDescent="0.3">
      <c r="E121" s="242">
        <f>IF(E120&gt;0,1,0)</f>
        <v>0</v>
      </c>
      <c r="F121" s="242">
        <f t="shared" ref="F121:L121" si="10">IF(F120&gt;0,1,0)</f>
        <v>0</v>
      </c>
      <c r="G121" s="242">
        <f t="shared" si="10"/>
        <v>0</v>
      </c>
      <c r="H121" s="242">
        <f t="shared" si="10"/>
        <v>0</v>
      </c>
      <c r="I121" s="242">
        <f t="shared" si="10"/>
        <v>0</v>
      </c>
      <c r="J121" s="242">
        <f t="shared" si="10"/>
        <v>0</v>
      </c>
      <c r="K121" s="243">
        <f t="shared" si="10"/>
        <v>0</v>
      </c>
      <c r="L121" s="244">
        <f t="shared" si="10"/>
        <v>0</v>
      </c>
    </row>
    <row r="122" spans="2:22" ht="15.75" thickBot="1" x14ac:dyDescent="0.3">
      <c r="D122" s="101" t="s">
        <v>120</v>
      </c>
      <c r="E122" s="304" t="e">
        <f>SUM(E120:L120)/SUM(E121:L121)</f>
        <v>#DIV/0!</v>
      </c>
      <c r="F122" s="305"/>
      <c r="G122" s="305"/>
      <c r="H122" s="305"/>
      <c r="I122" s="305"/>
      <c r="J122" s="305"/>
      <c r="K122" s="305"/>
      <c r="L122" s="306"/>
    </row>
    <row r="123" spans="2:22" x14ac:dyDescent="0.25">
      <c r="B123" s="203"/>
      <c r="C123" s="203"/>
      <c r="D123" s="203"/>
      <c r="E123" s="203"/>
    </row>
    <row r="124" spans="2:22" ht="15.75" thickBot="1" x14ac:dyDescent="0.3">
      <c r="B124" s="203"/>
      <c r="C124" s="203"/>
      <c r="D124" s="203"/>
      <c r="E124" s="203"/>
    </row>
    <row r="125" spans="2:22" ht="15.75" thickBot="1" x14ac:dyDescent="0.3">
      <c r="B125" s="301" t="s">
        <v>123</v>
      </c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3"/>
      <c r="V125" s="269" t="str">
        <f>'Concentrische proefvlakken'!G5</f>
        <v>Beuk</v>
      </c>
    </row>
    <row r="126" spans="2:22" ht="15.75" thickBot="1" x14ac:dyDescent="0.3">
      <c r="B126" s="118"/>
      <c r="C126" s="263" t="s">
        <v>124</v>
      </c>
      <c r="D126" s="218" t="s">
        <v>40</v>
      </c>
      <c r="E126" s="218" t="s">
        <v>41</v>
      </c>
      <c r="F126" s="218" t="s">
        <v>42</v>
      </c>
      <c r="G126" s="218" t="s">
        <v>43</v>
      </c>
      <c r="H126" s="218" t="s">
        <v>44</v>
      </c>
      <c r="I126" s="218" t="s">
        <v>45</v>
      </c>
      <c r="J126" s="218" t="s">
        <v>46</v>
      </c>
      <c r="K126" s="218" t="s">
        <v>47</v>
      </c>
      <c r="L126" s="218" t="s">
        <v>48</v>
      </c>
      <c r="M126" s="218" t="s">
        <v>49</v>
      </c>
      <c r="N126" s="218" t="s">
        <v>50</v>
      </c>
      <c r="O126" s="218" t="s">
        <v>51</v>
      </c>
      <c r="P126" s="218" t="s">
        <v>52</v>
      </c>
      <c r="Q126" s="218" t="s">
        <v>53</v>
      </c>
      <c r="R126" s="218" t="s">
        <v>54</v>
      </c>
      <c r="S126" s="218" t="s">
        <v>55</v>
      </c>
      <c r="T126" s="218" t="s">
        <v>56</v>
      </c>
      <c r="U126" s="218" t="s">
        <v>57</v>
      </c>
      <c r="V126" s="270">
        <f>VLOOKUP('Concentrische proefvlakken'!G5,Parameters!B127:V142,21,FALSE)</f>
        <v>1.6739999999999999</v>
      </c>
    </row>
    <row r="127" spans="2:22" x14ac:dyDescent="0.25">
      <c r="B127" s="204" t="s">
        <v>20</v>
      </c>
      <c r="C127" s="220">
        <v>1</v>
      </c>
      <c r="D127" s="221">
        <v>1</v>
      </c>
      <c r="E127" s="221">
        <v>1</v>
      </c>
      <c r="F127" s="221">
        <v>1.5</v>
      </c>
      <c r="G127" s="221">
        <v>1.5</v>
      </c>
      <c r="H127" s="221">
        <v>2</v>
      </c>
      <c r="I127" s="221">
        <v>2</v>
      </c>
      <c r="J127" s="221">
        <v>2.5</v>
      </c>
      <c r="K127" s="221">
        <v>2.5</v>
      </c>
      <c r="L127" s="221">
        <v>3</v>
      </c>
      <c r="M127" s="221">
        <v>3</v>
      </c>
      <c r="N127" s="221">
        <v>3</v>
      </c>
      <c r="O127" s="221">
        <v>3.5</v>
      </c>
      <c r="P127" s="221">
        <v>3.5</v>
      </c>
      <c r="Q127" s="221">
        <v>4</v>
      </c>
      <c r="R127" s="221">
        <v>4</v>
      </c>
      <c r="S127" s="221">
        <v>4</v>
      </c>
      <c r="T127" s="221">
        <v>5</v>
      </c>
      <c r="U127" s="222">
        <v>5</v>
      </c>
      <c r="V127" s="259">
        <v>1.6739999999999999</v>
      </c>
    </row>
    <row r="128" spans="2:22" x14ac:dyDescent="0.25">
      <c r="B128" s="204" t="s">
        <v>80</v>
      </c>
      <c r="C128" s="206">
        <v>1.5</v>
      </c>
      <c r="D128" s="197">
        <v>1.5</v>
      </c>
      <c r="E128" s="197">
        <v>1.5</v>
      </c>
      <c r="F128" s="197">
        <v>1.5</v>
      </c>
      <c r="G128" s="197">
        <v>2</v>
      </c>
      <c r="H128" s="197">
        <v>2</v>
      </c>
      <c r="I128" s="197">
        <v>2.5</v>
      </c>
      <c r="J128" s="197">
        <v>2.5</v>
      </c>
      <c r="K128" s="197">
        <v>3</v>
      </c>
      <c r="L128" s="197">
        <v>3</v>
      </c>
      <c r="M128" s="197">
        <v>3</v>
      </c>
      <c r="N128" s="197">
        <v>3</v>
      </c>
      <c r="O128" s="197">
        <v>3.5</v>
      </c>
      <c r="P128" s="197">
        <v>3.5</v>
      </c>
      <c r="Q128" s="197">
        <v>4</v>
      </c>
      <c r="R128" s="197">
        <v>4</v>
      </c>
      <c r="S128" s="197">
        <v>4</v>
      </c>
      <c r="T128" s="197">
        <v>5</v>
      </c>
      <c r="U128" s="223">
        <v>5</v>
      </c>
      <c r="V128" s="259">
        <v>1.419</v>
      </c>
    </row>
    <row r="129" spans="2:22" x14ac:dyDescent="0.25">
      <c r="B129" s="204" t="s">
        <v>83</v>
      </c>
      <c r="C129" s="206">
        <v>1.5</v>
      </c>
      <c r="D129" s="197">
        <v>1.5</v>
      </c>
      <c r="E129" s="197">
        <v>1.5</v>
      </c>
      <c r="F129" s="197">
        <v>1.5</v>
      </c>
      <c r="G129" s="197">
        <v>2</v>
      </c>
      <c r="H129" s="197">
        <v>2</v>
      </c>
      <c r="I129" s="197">
        <v>2.5</v>
      </c>
      <c r="J129" s="197">
        <v>2.5</v>
      </c>
      <c r="K129" s="197">
        <v>3</v>
      </c>
      <c r="L129" s="197">
        <v>3</v>
      </c>
      <c r="M129" s="197">
        <v>3</v>
      </c>
      <c r="N129" s="197">
        <v>3</v>
      </c>
      <c r="O129" s="197">
        <v>3.5</v>
      </c>
      <c r="P129" s="197">
        <v>3.5</v>
      </c>
      <c r="Q129" s="197">
        <v>4</v>
      </c>
      <c r="R129" s="197">
        <v>4</v>
      </c>
      <c r="S129" s="197">
        <v>4</v>
      </c>
      <c r="T129" s="197">
        <v>5</v>
      </c>
      <c r="U129" s="223">
        <v>5</v>
      </c>
      <c r="V129" s="260">
        <v>1.5</v>
      </c>
    </row>
    <row r="130" spans="2:22" x14ac:dyDescent="0.25">
      <c r="B130" s="204" t="s">
        <v>21</v>
      </c>
      <c r="C130" s="206">
        <v>2</v>
      </c>
      <c r="D130" s="197">
        <v>2</v>
      </c>
      <c r="E130" s="197">
        <v>2.5</v>
      </c>
      <c r="F130" s="197">
        <v>2.5</v>
      </c>
      <c r="G130" s="197">
        <v>3</v>
      </c>
      <c r="H130" s="197">
        <v>3</v>
      </c>
      <c r="I130" s="197">
        <v>3.5</v>
      </c>
      <c r="J130" s="197">
        <v>3.5</v>
      </c>
      <c r="K130" s="197">
        <v>4</v>
      </c>
      <c r="L130" s="197">
        <v>4</v>
      </c>
      <c r="M130" s="197">
        <v>4</v>
      </c>
      <c r="N130" s="197">
        <v>4</v>
      </c>
      <c r="O130" s="197">
        <v>5</v>
      </c>
      <c r="P130" s="197">
        <v>5</v>
      </c>
      <c r="Q130" s="197">
        <v>5</v>
      </c>
      <c r="R130" s="197">
        <v>5</v>
      </c>
      <c r="S130" s="197">
        <v>6</v>
      </c>
      <c r="T130" s="197">
        <v>6</v>
      </c>
      <c r="U130" s="223">
        <v>7</v>
      </c>
      <c r="V130" s="260">
        <v>0.78</v>
      </c>
    </row>
    <row r="131" spans="2:22" x14ac:dyDescent="0.25">
      <c r="B131" s="205" t="s">
        <v>71</v>
      </c>
      <c r="C131" s="227">
        <v>1.5</v>
      </c>
      <c r="D131" s="228">
        <v>1.5</v>
      </c>
      <c r="E131" s="228">
        <v>1.5</v>
      </c>
      <c r="F131" s="228">
        <v>1.5</v>
      </c>
      <c r="G131" s="228">
        <v>2</v>
      </c>
      <c r="H131" s="228">
        <v>2</v>
      </c>
      <c r="I131" s="228">
        <v>2.5</v>
      </c>
      <c r="J131" s="228">
        <v>2.5</v>
      </c>
      <c r="K131" s="228">
        <v>3</v>
      </c>
      <c r="L131" s="228">
        <v>3</v>
      </c>
      <c r="M131" s="228">
        <v>3</v>
      </c>
      <c r="N131" s="228">
        <v>3</v>
      </c>
      <c r="O131" s="228">
        <v>3.5</v>
      </c>
      <c r="P131" s="228">
        <v>3.5</v>
      </c>
      <c r="Q131" s="228">
        <v>4</v>
      </c>
      <c r="R131" s="228">
        <v>4</v>
      </c>
      <c r="S131" s="228">
        <v>4</v>
      </c>
      <c r="T131" s="228">
        <v>5</v>
      </c>
      <c r="U131" s="229">
        <v>5</v>
      </c>
      <c r="V131" s="259">
        <v>1.4259999999999999</v>
      </c>
    </row>
    <row r="132" spans="2:22" x14ac:dyDescent="0.25">
      <c r="B132" s="204" t="s">
        <v>81</v>
      </c>
      <c r="C132" s="206">
        <v>1.5</v>
      </c>
      <c r="D132" s="197">
        <v>1.5</v>
      </c>
      <c r="E132" s="197">
        <v>1.5</v>
      </c>
      <c r="F132" s="197">
        <v>1.5</v>
      </c>
      <c r="G132" s="197">
        <v>2</v>
      </c>
      <c r="H132" s="197">
        <v>2</v>
      </c>
      <c r="I132" s="197">
        <v>2.5</v>
      </c>
      <c r="J132" s="197">
        <v>2.5</v>
      </c>
      <c r="K132" s="197">
        <v>3</v>
      </c>
      <c r="L132" s="197">
        <v>3</v>
      </c>
      <c r="M132" s="197">
        <v>3</v>
      </c>
      <c r="N132" s="197">
        <v>3</v>
      </c>
      <c r="O132" s="197">
        <v>3.5</v>
      </c>
      <c r="P132" s="197">
        <v>3.5</v>
      </c>
      <c r="Q132" s="197">
        <v>4</v>
      </c>
      <c r="R132" s="197">
        <v>4</v>
      </c>
      <c r="S132" s="197">
        <v>4</v>
      </c>
      <c r="T132" s="197">
        <v>5</v>
      </c>
      <c r="U132" s="223">
        <v>5</v>
      </c>
      <c r="V132" s="260">
        <v>1.4</v>
      </c>
    </row>
    <row r="133" spans="2:22" x14ac:dyDescent="0.25">
      <c r="B133" s="204" t="s">
        <v>72</v>
      </c>
      <c r="C133" s="206">
        <v>1.5</v>
      </c>
      <c r="D133" s="197">
        <v>1.5</v>
      </c>
      <c r="E133" s="197">
        <v>1.5</v>
      </c>
      <c r="F133" s="197">
        <v>1.5</v>
      </c>
      <c r="G133" s="197">
        <v>2</v>
      </c>
      <c r="H133" s="197">
        <v>2</v>
      </c>
      <c r="I133" s="197">
        <v>2.5</v>
      </c>
      <c r="J133" s="197">
        <v>2.5</v>
      </c>
      <c r="K133" s="197">
        <v>3</v>
      </c>
      <c r="L133" s="197">
        <v>3</v>
      </c>
      <c r="M133" s="197">
        <v>3</v>
      </c>
      <c r="N133" s="197">
        <v>3</v>
      </c>
      <c r="O133" s="197">
        <v>3.5</v>
      </c>
      <c r="P133" s="197">
        <v>3.5</v>
      </c>
      <c r="Q133" s="197">
        <v>4</v>
      </c>
      <c r="R133" s="197">
        <v>4</v>
      </c>
      <c r="S133" s="197">
        <v>4</v>
      </c>
      <c r="T133" s="197">
        <v>5</v>
      </c>
      <c r="U133" s="223">
        <v>5</v>
      </c>
      <c r="V133" s="260">
        <v>1.4</v>
      </c>
    </row>
    <row r="134" spans="2:22" x14ac:dyDescent="0.25">
      <c r="B134" s="205" t="s">
        <v>73</v>
      </c>
      <c r="C134" s="206">
        <v>1.5</v>
      </c>
      <c r="D134" s="197">
        <v>1.5</v>
      </c>
      <c r="E134" s="197">
        <v>1.5</v>
      </c>
      <c r="F134" s="197">
        <v>1.5</v>
      </c>
      <c r="G134" s="197">
        <v>2</v>
      </c>
      <c r="H134" s="197">
        <v>2</v>
      </c>
      <c r="I134" s="197">
        <v>2.5</v>
      </c>
      <c r="J134" s="197">
        <v>2.5</v>
      </c>
      <c r="K134" s="197">
        <v>3</v>
      </c>
      <c r="L134" s="197">
        <v>3</v>
      </c>
      <c r="M134" s="197">
        <v>3</v>
      </c>
      <c r="N134" s="197">
        <v>3</v>
      </c>
      <c r="O134" s="197">
        <v>3.5</v>
      </c>
      <c r="P134" s="197">
        <v>3.5</v>
      </c>
      <c r="Q134" s="197">
        <v>4</v>
      </c>
      <c r="R134" s="197">
        <v>4</v>
      </c>
      <c r="S134" s="197">
        <v>4</v>
      </c>
      <c r="T134" s="197">
        <v>5</v>
      </c>
      <c r="U134" s="223">
        <v>5</v>
      </c>
      <c r="V134" s="260">
        <v>1.4</v>
      </c>
    </row>
    <row r="135" spans="2:22" x14ac:dyDescent="0.25">
      <c r="B135" s="205" t="s">
        <v>74</v>
      </c>
      <c r="C135" s="206">
        <v>1.5</v>
      </c>
      <c r="D135" s="197">
        <v>1.5</v>
      </c>
      <c r="E135" s="197">
        <v>1.5</v>
      </c>
      <c r="F135" s="197">
        <v>1.5</v>
      </c>
      <c r="G135" s="197">
        <v>2</v>
      </c>
      <c r="H135" s="197">
        <v>2</v>
      </c>
      <c r="I135" s="197">
        <v>2.5</v>
      </c>
      <c r="J135" s="197">
        <v>2.5</v>
      </c>
      <c r="K135" s="197">
        <v>3</v>
      </c>
      <c r="L135" s="197">
        <v>3</v>
      </c>
      <c r="M135" s="197">
        <v>3</v>
      </c>
      <c r="N135" s="197">
        <v>3</v>
      </c>
      <c r="O135" s="197">
        <v>3.5</v>
      </c>
      <c r="P135" s="197">
        <v>3.5</v>
      </c>
      <c r="Q135" s="197">
        <v>4</v>
      </c>
      <c r="R135" s="197">
        <v>4</v>
      </c>
      <c r="S135" s="197">
        <v>4</v>
      </c>
      <c r="T135" s="197">
        <v>5</v>
      </c>
      <c r="U135" s="223">
        <v>5</v>
      </c>
      <c r="V135" s="260">
        <v>1.4</v>
      </c>
    </row>
    <row r="136" spans="2:22" x14ac:dyDescent="0.25">
      <c r="B136" s="205" t="s">
        <v>82</v>
      </c>
      <c r="C136" s="206">
        <v>1.5</v>
      </c>
      <c r="D136" s="197">
        <v>1.5</v>
      </c>
      <c r="E136" s="197">
        <v>1.5</v>
      </c>
      <c r="F136" s="197">
        <v>1.5</v>
      </c>
      <c r="G136" s="197">
        <v>2</v>
      </c>
      <c r="H136" s="197">
        <v>2</v>
      </c>
      <c r="I136" s="197">
        <v>2.5</v>
      </c>
      <c r="J136" s="197">
        <v>2.5</v>
      </c>
      <c r="K136" s="197">
        <v>3</v>
      </c>
      <c r="L136" s="197">
        <v>3</v>
      </c>
      <c r="M136" s="197">
        <v>3</v>
      </c>
      <c r="N136" s="197">
        <v>3</v>
      </c>
      <c r="O136" s="197">
        <v>3.5</v>
      </c>
      <c r="P136" s="197">
        <v>3.5</v>
      </c>
      <c r="Q136" s="197">
        <v>4</v>
      </c>
      <c r="R136" s="197">
        <v>4</v>
      </c>
      <c r="S136" s="197">
        <v>4</v>
      </c>
      <c r="T136" s="197">
        <v>5</v>
      </c>
      <c r="U136" s="223">
        <v>5</v>
      </c>
      <c r="V136" s="260">
        <v>1.4</v>
      </c>
    </row>
    <row r="137" spans="2:22" x14ac:dyDescent="0.25">
      <c r="B137" s="204" t="s">
        <v>19</v>
      </c>
      <c r="C137" s="206">
        <v>1.5</v>
      </c>
      <c r="D137" s="197">
        <v>2</v>
      </c>
      <c r="E137" s="197">
        <v>2.5</v>
      </c>
      <c r="F137" s="197">
        <v>2.5</v>
      </c>
      <c r="G137" s="197">
        <v>3</v>
      </c>
      <c r="H137" s="197">
        <v>3.5</v>
      </c>
      <c r="I137" s="197">
        <v>4</v>
      </c>
      <c r="J137" s="197">
        <v>4</v>
      </c>
      <c r="K137" s="197">
        <v>4</v>
      </c>
      <c r="L137" s="197">
        <v>5</v>
      </c>
      <c r="M137" s="197">
        <v>5</v>
      </c>
      <c r="N137" s="197">
        <v>5</v>
      </c>
      <c r="O137" s="197">
        <v>5</v>
      </c>
      <c r="P137" s="197">
        <v>5</v>
      </c>
      <c r="Q137" s="197">
        <v>5</v>
      </c>
      <c r="R137" s="197">
        <v>5</v>
      </c>
      <c r="S137" s="197">
        <v>5</v>
      </c>
      <c r="T137" s="197">
        <v>5</v>
      </c>
      <c r="U137" s="223">
        <v>5</v>
      </c>
      <c r="V137" s="259">
        <v>0.85799999999999998</v>
      </c>
    </row>
    <row r="138" spans="2:22" x14ac:dyDescent="0.25">
      <c r="B138" s="204" t="s">
        <v>79</v>
      </c>
      <c r="C138" s="206">
        <v>2</v>
      </c>
      <c r="D138" s="197">
        <v>2</v>
      </c>
      <c r="E138" s="197">
        <v>2.5</v>
      </c>
      <c r="F138" s="197">
        <v>3</v>
      </c>
      <c r="G138" s="197">
        <v>3.5</v>
      </c>
      <c r="H138" s="197">
        <v>3.5</v>
      </c>
      <c r="I138" s="197">
        <v>4</v>
      </c>
      <c r="J138" s="197">
        <v>4</v>
      </c>
      <c r="K138" s="197">
        <v>4.5</v>
      </c>
      <c r="L138" s="197">
        <v>5</v>
      </c>
      <c r="M138" s="197">
        <v>5</v>
      </c>
      <c r="N138" s="197">
        <v>5</v>
      </c>
      <c r="O138" s="197">
        <v>5</v>
      </c>
      <c r="P138" s="197">
        <v>5</v>
      </c>
      <c r="Q138" s="197">
        <v>6</v>
      </c>
      <c r="R138" s="197">
        <v>6</v>
      </c>
      <c r="S138" s="197">
        <v>6</v>
      </c>
      <c r="T138" s="197">
        <v>6</v>
      </c>
      <c r="U138" s="223">
        <v>6</v>
      </c>
      <c r="V138" s="259">
        <v>0.84399999999999997</v>
      </c>
    </row>
    <row r="139" spans="2:22" x14ac:dyDescent="0.25">
      <c r="B139" s="204" t="s">
        <v>75</v>
      </c>
      <c r="C139" s="206">
        <v>2</v>
      </c>
      <c r="D139" s="197">
        <v>2</v>
      </c>
      <c r="E139" s="197">
        <v>2.5</v>
      </c>
      <c r="F139" s="197">
        <v>3</v>
      </c>
      <c r="G139" s="197">
        <v>3.5</v>
      </c>
      <c r="H139" s="197">
        <v>3.5</v>
      </c>
      <c r="I139" s="197">
        <v>4</v>
      </c>
      <c r="J139" s="197">
        <v>4</v>
      </c>
      <c r="K139" s="197">
        <v>4.5</v>
      </c>
      <c r="L139" s="197">
        <v>5</v>
      </c>
      <c r="M139" s="197">
        <v>5</v>
      </c>
      <c r="N139" s="197">
        <v>5</v>
      </c>
      <c r="O139" s="197">
        <v>5</v>
      </c>
      <c r="P139" s="197">
        <v>5</v>
      </c>
      <c r="Q139" s="197">
        <v>6</v>
      </c>
      <c r="R139" s="197">
        <v>6</v>
      </c>
      <c r="S139" s="197">
        <v>6</v>
      </c>
      <c r="T139" s="197">
        <v>6</v>
      </c>
      <c r="U139" s="223">
        <v>6</v>
      </c>
      <c r="V139" s="260">
        <v>0.8</v>
      </c>
    </row>
    <row r="140" spans="2:22" x14ac:dyDescent="0.25">
      <c r="B140" s="204" t="s">
        <v>76</v>
      </c>
      <c r="C140" s="206">
        <v>2</v>
      </c>
      <c r="D140" s="197">
        <v>2</v>
      </c>
      <c r="E140" s="197">
        <v>2.5</v>
      </c>
      <c r="F140" s="197">
        <v>3</v>
      </c>
      <c r="G140" s="197">
        <v>3.5</v>
      </c>
      <c r="H140" s="197">
        <v>3.5</v>
      </c>
      <c r="I140" s="197">
        <v>4</v>
      </c>
      <c r="J140" s="197">
        <v>4</v>
      </c>
      <c r="K140" s="197">
        <v>4.5</v>
      </c>
      <c r="L140" s="197">
        <v>5</v>
      </c>
      <c r="M140" s="197">
        <v>5</v>
      </c>
      <c r="N140" s="197">
        <v>5</v>
      </c>
      <c r="O140" s="197">
        <v>5</v>
      </c>
      <c r="P140" s="197">
        <v>5</v>
      </c>
      <c r="Q140" s="197">
        <v>6</v>
      </c>
      <c r="R140" s="197">
        <v>6</v>
      </c>
      <c r="S140" s="197">
        <v>6</v>
      </c>
      <c r="T140" s="197">
        <v>6</v>
      </c>
      <c r="U140" s="223">
        <v>6</v>
      </c>
      <c r="V140" s="260">
        <v>0.8</v>
      </c>
    </row>
    <row r="141" spans="2:22" x14ac:dyDescent="0.25">
      <c r="B141" s="204" t="s">
        <v>77</v>
      </c>
      <c r="C141" s="206">
        <v>2</v>
      </c>
      <c r="D141" s="197">
        <v>2</v>
      </c>
      <c r="E141" s="197">
        <v>2.5</v>
      </c>
      <c r="F141" s="197">
        <v>3</v>
      </c>
      <c r="G141" s="197">
        <v>3.5</v>
      </c>
      <c r="H141" s="197">
        <v>3.5</v>
      </c>
      <c r="I141" s="197">
        <v>4</v>
      </c>
      <c r="J141" s="197">
        <v>4</v>
      </c>
      <c r="K141" s="197">
        <v>4.5</v>
      </c>
      <c r="L141" s="197">
        <v>5</v>
      </c>
      <c r="M141" s="197">
        <v>5</v>
      </c>
      <c r="N141" s="197">
        <v>5</v>
      </c>
      <c r="O141" s="197">
        <v>5</v>
      </c>
      <c r="P141" s="197">
        <v>5</v>
      </c>
      <c r="Q141" s="197">
        <v>6</v>
      </c>
      <c r="R141" s="197">
        <v>6</v>
      </c>
      <c r="S141" s="197">
        <v>6</v>
      </c>
      <c r="T141" s="197">
        <v>6</v>
      </c>
      <c r="U141" s="223">
        <v>6</v>
      </c>
      <c r="V141" s="260">
        <v>0.8</v>
      </c>
    </row>
    <row r="142" spans="2:22" ht="15.75" thickBot="1" x14ac:dyDescent="0.3">
      <c r="B142" s="204" t="s">
        <v>78</v>
      </c>
      <c r="C142" s="224">
        <v>2</v>
      </c>
      <c r="D142" s="225">
        <v>2</v>
      </c>
      <c r="E142" s="225">
        <v>2.5</v>
      </c>
      <c r="F142" s="225">
        <v>3</v>
      </c>
      <c r="G142" s="225">
        <v>3.5</v>
      </c>
      <c r="H142" s="225">
        <v>3.5</v>
      </c>
      <c r="I142" s="225">
        <v>4</v>
      </c>
      <c r="J142" s="225">
        <v>4</v>
      </c>
      <c r="K142" s="225">
        <v>4.5</v>
      </c>
      <c r="L142" s="225">
        <v>5</v>
      </c>
      <c r="M142" s="225">
        <v>5</v>
      </c>
      <c r="N142" s="225">
        <v>5</v>
      </c>
      <c r="O142" s="225">
        <v>5</v>
      </c>
      <c r="P142" s="225">
        <v>5</v>
      </c>
      <c r="Q142" s="225">
        <v>6</v>
      </c>
      <c r="R142" s="225">
        <v>6</v>
      </c>
      <c r="S142" s="225">
        <v>6</v>
      </c>
      <c r="T142" s="225">
        <v>6</v>
      </c>
      <c r="U142" s="226">
        <v>6</v>
      </c>
      <c r="V142" s="261">
        <v>0.8</v>
      </c>
    </row>
    <row r="143" spans="2:22" ht="15.75" thickBot="1" x14ac:dyDescent="0.3">
      <c r="B143" s="6"/>
      <c r="C143" s="192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2"/>
    </row>
  </sheetData>
  <sheetProtection password="E0F0" sheet="1" objects="1" scenarios="1"/>
  <mergeCells count="12">
    <mergeCell ref="B1:I1"/>
    <mergeCell ref="C46:D46"/>
    <mergeCell ref="B3:E3"/>
    <mergeCell ref="E69:L69"/>
    <mergeCell ref="B125:U125"/>
    <mergeCell ref="M72:N72"/>
    <mergeCell ref="B16:E16"/>
    <mergeCell ref="B24:F24"/>
    <mergeCell ref="C73:D73"/>
    <mergeCell ref="E94:L94"/>
    <mergeCell ref="C98:D98"/>
    <mergeCell ref="E122:L1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Concentrische proefvlakken</vt:lpstr>
      <vt:lpstr>Strookvormig proefvlak </vt:lpstr>
      <vt:lpstr>Parameters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cp:lastPrinted>2015-02-25T08:46:42Z</cp:lastPrinted>
  <dcterms:created xsi:type="dcterms:W3CDTF">2013-12-24T16:01:36Z</dcterms:created>
  <dcterms:modified xsi:type="dcterms:W3CDTF">2015-03-17T13:36:25Z</dcterms:modified>
</cp:coreProperties>
</file>