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E0F0" lockStructure="1"/>
  <bookViews>
    <workbookView xWindow="10710" yWindow="-90" windowWidth="9780" windowHeight="7920" tabRatio="757"/>
  </bookViews>
  <sheets>
    <sheet name="Rekenblad " sheetId="1" r:id="rId1"/>
    <sheet name="Algemeen en kostprijzen" sheetId="2" r:id="rId2"/>
    <sheet name="Volumebepaling" sheetId="3" state="hidden" r:id="rId3"/>
    <sheet name="Houtprijzen" sheetId="5" r:id="rId4"/>
  </sheets>
  <definedNames>
    <definedName name="_xlnm._FilterDatabase" localSheetId="1" hidden="1">'Algemeen en kostprijzen'!#REF!</definedName>
  </definedNames>
  <calcPr calcId="145621"/>
</workbook>
</file>

<file path=xl/calcChain.xml><?xml version="1.0" encoding="utf-8"?>
<calcChain xmlns="http://schemas.openxmlformats.org/spreadsheetml/2006/main">
  <c r="N75" i="1" l="1"/>
  <c r="I22" i="5" l="1"/>
  <c r="H20" i="5" s="1"/>
  <c r="H15" i="5"/>
  <c r="H10" i="5"/>
  <c r="H7" i="5"/>
  <c r="B52" i="3"/>
  <c r="B51" i="3"/>
  <c r="B50" i="3"/>
  <c r="B49" i="3"/>
  <c r="C43" i="3"/>
  <c r="J38" i="3"/>
  <c r="J37" i="3"/>
  <c r="C37" i="3" s="1"/>
  <c r="D33" i="1" s="1"/>
  <c r="L12" i="1" s="1"/>
  <c r="C34" i="3"/>
  <c r="C26" i="3" s="1"/>
  <c r="C15" i="3"/>
  <c r="C7" i="3"/>
  <c r="C5" i="3"/>
  <c r="A93" i="2"/>
  <c r="A92" i="2"/>
  <c r="A91" i="2"/>
  <c r="B80" i="2"/>
  <c r="B78" i="2" s="1"/>
  <c r="C68" i="2"/>
  <c r="F87" i="1" s="1"/>
  <c r="C65" i="2"/>
  <c r="C64" i="2"/>
  <c r="C63" i="2"/>
  <c r="C62" i="2"/>
  <c r="F113" i="1" s="1"/>
  <c r="C61" i="2"/>
  <c r="C60" i="2"/>
  <c r="C56" i="2"/>
  <c r="C55" i="2"/>
  <c r="C54" i="2"/>
  <c r="C53" i="2"/>
  <c r="F85" i="1" s="1"/>
  <c r="C50" i="2"/>
  <c r="C46" i="2"/>
  <c r="C45" i="2"/>
  <c r="C44" i="2"/>
  <c r="C43" i="2"/>
  <c r="C39" i="2"/>
  <c r="C38" i="2"/>
  <c r="C37" i="2"/>
  <c r="C36" i="2"/>
  <c r="C32" i="2"/>
  <c r="C31" i="2"/>
  <c r="C30" i="2"/>
  <c r="C29" i="2"/>
  <c r="C28" i="2"/>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J21" i="2"/>
  <c r="I21" i="2"/>
  <c r="H21" i="2"/>
  <c r="G21" i="2"/>
  <c r="F21" i="2"/>
  <c r="E21" i="2"/>
  <c r="D21" i="2"/>
  <c r="C21" i="2"/>
  <c r="B21" i="2"/>
  <c r="AL16" i="2"/>
  <c r="AL15" i="2"/>
  <c r="AK15" i="2"/>
  <c r="AJ15" i="2"/>
  <c r="AI15" i="2"/>
  <c r="AH15" i="2"/>
  <c r="AG15" i="2"/>
  <c r="AF15" i="2"/>
  <c r="AE15" i="2"/>
  <c r="AD15" i="2"/>
  <c r="AC15" i="2"/>
  <c r="AB15" i="2"/>
  <c r="AA15" i="2"/>
  <c r="Z15" i="2"/>
  <c r="Y15" i="2"/>
  <c r="X15" i="2"/>
  <c r="W15" i="2"/>
  <c r="V15" i="2"/>
  <c r="U15" i="2"/>
  <c r="T15" i="2"/>
  <c r="S15" i="2"/>
  <c r="R15" i="2"/>
  <c r="Q15" i="2"/>
  <c r="P15" i="2"/>
  <c r="O15" i="2"/>
  <c r="N15" i="2"/>
  <c r="M15" i="2"/>
  <c r="L15" i="2"/>
  <c r="K15" i="2"/>
  <c r="J15" i="2"/>
  <c r="I15" i="2"/>
  <c r="H15" i="2"/>
  <c r="G15" i="2"/>
  <c r="F15" i="2"/>
  <c r="E15" i="2"/>
  <c r="D15" i="2"/>
  <c r="C15" i="2"/>
  <c r="B15" i="2"/>
  <c r="AL8" i="2"/>
  <c r="AL7" i="2"/>
  <c r="H135" i="1"/>
  <c r="H133" i="1"/>
  <c r="F133" i="1"/>
  <c r="D133" i="1"/>
  <c r="H127" i="1"/>
  <c r="F127" i="1"/>
  <c r="J123" i="1"/>
  <c r="F115" i="1"/>
  <c r="H115" i="1" s="1"/>
  <c r="D115" i="1"/>
  <c r="L114" i="1"/>
  <c r="H113" i="1"/>
  <c r="N113" i="1" s="1"/>
  <c r="N108" i="1"/>
  <c r="K108" i="1"/>
  <c r="G108" i="1"/>
  <c r="A108" i="1"/>
  <c r="H100" i="1"/>
  <c r="F100" i="1"/>
  <c r="N100" i="1" s="1"/>
  <c r="F98" i="1"/>
  <c r="F103" i="1" s="1"/>
  <c r="H96" i="1"/>
  <c r="F96" i="1"/>
  <c r="N96" i="1" s="1"/>
  <c r="H87" i="1"/>
  <c r="D87" i="1"/>
  <c r="H85" i="1"/>
  <c r="N85" i="1" s="1"/>
  <c r="F77" i="1"/>
  <c r="N77" i="1" s="1"/>
  <c r="F75" i="1"/>
  <c r="F80" i="1" s="1"/>
  <c r="F66" i="1"/>
  <c r="H66" i="1" s="1"/>
  <c r="D66" i="1"/>
  <c r="F64" i="1"/>
  <c r="H64" i="1" s="1"/>
  <c r="N64" i="1" s="1"/>
  <c r="F56" i="1"/>
  <c r="F59" i="1" s="1"/>
  <c r="H54" i="1"/>
  <c r="F54" i="1"/>
  <c r="N54" i="1" s="1"/>
  <c r="H31" i="1"/>
  <c r="H14" i="1"/>
  <c r="J14" i="1" s="1"/>
  <c r="H17" i="5" l="1"/>
  <c r="H11" i="5"/>
  <c r="H18" i="5"/>
  <c r="B79" i="2"/>
  <c r="H6" i="5"/>
  <c r="D42" i="1" s="1"/>
  <c r="H13" i="5"/>
  <c r="H21" i="5"/>
  <c r="D108" i="1"/>
  <c r="B81" i="2"/>
  <c r="J108" i="1" s="1"/>
  <c r="H9" i="5"/>
  <c r="H14" i="5"/>
  <c r="H19" i="5"/>
  <c r="C9" i="3"/>
  <c r="N12" i="1"/>
  <c r="L14" i="1"/>
  <c r="N14" i="1" s="1"/>
  <c r="N56" i="1"/>
  <c r="N98" i="1"/>
  <c r="N59" i="1"/>
  <c r="H77" i="1"/>
  <c r="C16" i="3"/>
  <c r="H8" i="5"/>
  <c r="H12" i="5"/>
  <c r="H16" i="5"/>
  <c r="C8" i="3" l="1"/>
  <c r="F21" i="1" s="1"/>
  <c r="C33" i="3"/>
  <c r="B31" i="1" s="1"/>
  <c r="C6" i="3"/>
  <c r="C10" i="3" s="1"/>
  <c r="N16" i="1" s="1"/>
  <c r="L16" i="1" s="1"/>
  <c r="C17" i="3"/>
  <c r="C25" i="3" s="1"/>
  <c r="C18" i="3"/>
  <c r="C19" i="3" s="1"/>
  <c r="N40" i="1"/>
  <c r="H98" i="1"/>
  <c r="N103" i="1"/>
  <c r="C91" i="2"/>
  <c r="H75" i="1"/>
  <c r="H80" i="1" s="1"/>
  <c r="N80" i="1"/>
  <c r="H56" i="1"/>
  <c r="H59" i="1" s="1"/>
  <c r="C35" i="3" l="1"/>
  <c r="C36" i="3" s="1"/>
  <c r="L31" i="1" s="1"/>
  <c r="J16" i="1"/>
  <c r="C38" i="3"/>
  <c r="L33" i="1" s="1"/>
  <c r="H21" i="1"/>
  <c r="F26" i="1" s="1"/>
  <c r="C20" i="3"/>
  <c r="L21" i="1" s="1"/>
  <c r="C24" i="3"/>
  <c r="B26" i="1" s="1"/>
  <c r="C92" i="2"/>
  <c r="C93" i="2"/>
  <c r="H103" i="1"/>
  <c r="C27" i="3"/>
  <c r="L26" i="1" s="1"/>
  <c r="N26" i="1" l="1"/>
  <c r="E50" i="3" s="1"/>
  <c r="C39" i="3"/>
  <c r="C11" i="3"/>
  <c r="N21" i="1"/>
  <c r="E49" i="3" s="1"/>
  <c r="N33" i="1"/>
  <c r="C44" i="3"/>
  <c r="C45" i="3"/>
  <c r="F35" i="1" s="1"/>
  <c r="H35" i="1" s="1"/>
  <c r="N31" i="1"/>
  <c r="F40" i="1"/>
  <c r="D40" i="1" l="1"/>
  <c r="C49" i="3" s="1"/>
  <c r="L35" i="1"/>
  <c r="N35" i="1" s="1"/>
  <c r="C50" i="3"/>
  <c r="B97" i="2"/>
  <c r="F134" i="1"/>
  <c r="F138" i="1" s="1"/>
  <c r="J87" i="1"/>
  <c r="F48" i="1"/>
  <c r="L87" i="1"/>
  <c r="L77" i="1"/>
  <c r="L75" i="1"/>
  <c r="B96" i="2" l="1"/>
  <c r="L80" i="1"/>
  <c r="L56" i="1"/>
  <c r="L54" i="1"/>
  <c r="D48" i="1"/>
  <c r="D128" i="1" s="1"/>
  <c r="J66" i="1"/>
  <c r="J54" i="1" s="1"/>
  <c r="L66" i="1"/>
  <c r="D134" i="1"/>
  <c r="D138" i="1" s="1"/>
  <c r="F91" i="2" s="1"/>
  <c r="B92" i="2"/>
  <c r="F128" i="1"/>
  <c r="J56" i="1"/>
  <c r="J85" i="1"/>
  <c r="L85" i="1" s="1"/>
  <c r="N90" i="1" s="1"/>
  <c r="J77" i="1"/>
  <c r="J75" i="1"/>
  <c r="F92" i="2"/>
  <c r="E51" i="3"/>
  <c r="E53" i="3" s="1"/>
  <c r="H40" i="1"/>
  <c r="L59" i="1" l="1"/>
  <c r="J64" i="1"/>
  <c r="L64" i="1" s="1"/>
  <c r="N69" i="1" s="1"/>
  <c r="D91" i="2" s="1"/>
  <c r="B91" i="2"/>
  <c r="B99" i="2"/>
  <c r="H48" i="1"/>
  <c r="B98" i="2"/>
  <c r="H46" i="2" s="1"/>
  <c r="F46" i="2"/>
  <c r="F42" i="2"/>
  <c r="C51" i="3"/>
  <c r="C53" i="3" s="1"/>
  <c r="N43" i="1" s="1"/>
  <c r="F43" i="2"/>
  <c r="L100" i="1"/>
  <c r="H42" i="2"/>
  <c r="J115" i="1"/>
  <c r="L96" i="1"/>
  <c r="L98" i="1"/>
  <c r="J40" i="1"/>
  <c r="H90" i="1"/>
  <c r="D92" i="2"/>
  <c r="L90" i="1"/>
  <c r="J90" i="1"/>
  <c r="F129" i="1"/>
  <c r="F131" i="1" s="1"/>
  <c r="J69" i="1"/>
  <c r="D129" i="1"/>
  <c r="E52" i="3"/>
  <c r="N46" i="1"/>
  <c r="J80" i="1"/>
  <c r="J59" i="1"/>
  <c r="H69" i="1" l="1"/>
  <c r="L69" i="1"/>
  <c r="E92" i="2"/>
  <c r="F141" i="1"/>
  <c r="L103" i="1"/>
  <c r="F44" i="2"/>
  <c r="L115" i="1"/>
  <c r="J113" i="1" s="1"/>
  <c r="L113" i="1" s="1"/>
  <c r="N118" i="1" s="1"/>
  <c r="F45" i="2"/>
  <c r="N123" i="1"/>
  <c r="L123" i="1" s="1"/>
  <c r="J96" i="1"/>
  <c r="J100" i="1"/>
  <c r="J98" i="1"/>
  <c r="H128" i="1"/>
  <c r="B93" i="2"/>
  <c r="D46" i="1"/>
  <c r="D131" i="1"/>
  <c r="C52" i="3"/>
  <c r="J48" i="1"/>
  <c r="H45" i="2"/>
  <c r="H43" i="2"/>
  <c r="H134" i="1" s="1"/>
  <c r="H44" i="2"/>
  <c r="J103" i="1" l="1"/>
  <c r="J128" i="1"/>
  <c r="H138" i="1"/>
  <c r="E91" i="2"/>
  <c r="D141" i="1"/>
  <c r="J118" i="1"/>
  <c r="D93" i="2"/>
  <c r="H118" i="1"/>
  <c r="L118" i="1"/>
  <c r="H129" i="1"/>
  <c r="J129" i="1" s="1"/>
  <c r="F144" i="1"/>
  <c r="F143" i="1"/>
  <c r="F142" i="1"/>
  <c r="G92" i="2"/>
  <c r="H131" i="1" l="1"/>
  <c r="H141" i="1" s="1"/>
  <c r="L141" i="1" s="1"/>
  <c r="F93" i="2"/>
  <c r="J138" i="1"/>
  <c r="G91" i="2"/>
  <c r="D144" i="1"/>
  <c r="D143" i="1"/>
  <c r="D142" i="1"/>
  <c r="E93" i="2" l="1"/>
  <c r="J131" i="1"/>
  <c r="L144" i="1"/>
  <c r="L143" i="1"/>
  <c r="G93" i="2"/>
  <c r="H144" i="1"/>
  <c r="H142" i="1"/>
  <c r="L142" i="1" s="1"/>
  <c r="H143" i="1"/>
</calcChain>
</file>

<file path=xl/comments1.xml><?xml version="1.0" encoding="utf-8"?>
<comments xmlns="http://schemas.openxmlformats.org/spreadsheetml/2006/main">
  <authors>
    <author>Bert</author>
  </authors>
  <commentList>
    <comment ref="B12" authorId="0">
      <text>
        <r>
          <rPr>
            <sz val="9"/>
            <color indexed="81"/>
            <rFont val="Calibri"/>
            <family val="2"/>
            <scheme val="minor"/>
          </rPr>
          <t>Vul hier de grootte (ha) van het bestand/perceel in</t>
        </r>
      </text>
    </comment>
    <comment ref="J12" authorId="0">
      <text>
        <r>
          <rPr>
            <sz val="9"/>
            <color indexed="81"/>
            <rFont val="Calibri"/>
            <family val="2"/>
            <scheme val="minor"/>
          </rPr>
          <t>Vul hier het volume in dat je bekomt op basis van het spilhout. Dit wil zeggen dat enkel het volume van het stamgedeelte in rekening wordt gebracht en niet het takhoutvolume</t>
        </r>
      </text>
    </comment>
    <comment ref="B14" authorId="0">
      <text>
        <r>
          <rPr>
            <sz val="9"/>
            <color indexed="81"/>
            <rFont val="Calibri"/>
            <family val="2"/>
            <scheme val="minor"/>
          </rPr>
          <t xml:space="preserve">Kies hier de boomsoort </t>
        </r>
      </text>
    </comment>
    <comment ref="D14" authorId="0">
      <text>
        <r>
          <rPr>
            <sz val="9"/>
            <color indexed="81"/>
            <rFont val="Calibri"/>
            <family val="2"/>
            <scheme val="minor"/>
          </rPr>
          <t>Vul hier de gemiddelde omtrek gemeten op 1,5m (borsthoogte) in van het bestand/perceel</t>
        </r>
      </text>
    </comment>
    <comment ref="F14" authorId="0">
      <text>
        <r>
          <rPr>
            <sz val="9"/>
            <color indexed="81"/>
            <rFont val="Calibri"/>
            <family val="2"/>
            <scheme val="minor"/>
          </rPr>
          <t>Het vochtgehalte op stam is afhankelijk van het tijdstip, de standplaats en de boomsoort. In het voorjaar, op natte standplaatsen, bij Populier, Wilg... is een hoger vochtgehalte mogelijk. In het najaar, op droge standplaatsen, bij Berk, Grove den… is een lager vochtgehalte mogelijk</t>
        </r>
      </text>
    </comment>
    <comment ref="B16" authorId="0">
      <text>
        <r>
          <rPr>
            <sz val="9"/>
            <color indexed="81"/>
            <rFont val="Calibri"/>
            <family val="2"/>
            <scheme val="minor"/>
          </rPr>
          <t>Vul hier de gemiddelde boomhoogte in van het bestand/perceel</t>
        </r>
      </text>
    </comment>
    <comment ref="B21" authorId="0">
      <text>
        <r>
          <rPr>
            <sz val="9"/>
            <color indexed="81"/>
            <rFont val="Calibri"/>
            <family val="2"/>
            <scheme val="minor"/>
          </rPr>
          <t>Vul hier de gemiddelde stamlengte van het werkhout in</t>
        </r>
      </text>
    </comment>
    <comment ref="H26" authorId="0">
      <text>
        <r>
          <rPr>
            <sz val="9"/>
            <color indexed="81"/>
            <rFont val="Calibri"/>
            <family val="2"/>
            <scheme val="minor"/>
          </rPr>
          <t>Vul hier de aftopdiameter in</t>
        </r>
      </text>
    </comment>
    <comment ref="B33" authorId="0">
      <text>
        <r>
          <rPr>
            <sz val="9"/>
            <color indexed="81"/>
            <rFont val="Calibri"/>
            <family val="2"/>
            <scheme val="minor"/>
          </rPr>
          <t>Kies hier de takbezetting: bij randbomen, houtkanten en solitaire bomen ligt de takbezetting hoger dan bij bomen in bosverband</t>
        </r>
      </text>
    </comment>
    <comment ref="B35" authorId="0">
      <text>
        <r>
          <rPr>
            <sz val="9"/>
            <color indexed="81"/>
            <rFont val="Calibri"/>
            <family val="2"/>
            <scheme val="minor"/>
          </rPr>
          <t>Kies hier wat er van het tak- en tophout geoogst zal worden</t>
        </r>
      </text>
    </comment>
    <comment ref="D35" authorId="0">
      <text>
        <r>
          <rPr>
            <sz val="9"/>
            <color indexed="81"/>
            <rFont val="Calibri"/>
            <family val="2"/>
            <scheme val="minor"/>
          </rPr>
          <t>Vul hier het technisch oogstverlies (%) in: door de technische beperkingen van het oogstsysteem of de machine kan een deel van het tak- en tophout niet verzameld en verwerkt worden</t>
        </r>
      </text>
    </comment>
    <comment ref="F35" authorId="0">
      <text>
        <r>
          <rPr>
            <sz val="9"/>
            <color indexed="81"/>
            <rFont val="Calibri"/>
            <family val="2"/>
            <scheme val="minor"/>
          </rPr>
          <t>Dit is het volume tak- en tophout dat niet geoogst zal worden, maar teruggegeven wordt aan de natuur</t>
        </r>
      </text>
    </comment>
    <comment ref="D39" authorId="0">
      <text>
        <r>
          <rPr>
            <sz val="9"/>
            <color indexed="81"/>
            <rFont val="Calibri"/>
            <family val="2"/>
            <scheme val="minor"/>
          </rPr>
          <t>Het werkhout kan gebruikt worden voor fineer, meubels...</t>
        </r>
      </text>
    </comment>
    <comment ref="F39" authorId="0">
      <text>
        <r>
          <rPr>
            <sz val="9"/>
            <color indexed="81"/>
            <rFont val="Calibri"/>
            <family val="2"/>
            <scheme val="minor"/>
          </rPr>
          <t>Het industriehout kan gebruikt worden voor OSB, spaanplaat…</t>
        </r>
      </text>
    </comment>
    <comment ref="H39" authorId="0">
      <text>
        <r>
          <rPr>
            <sz val="9"/>
            <color indexed="81"/>
            <rFont val="Calibri"/>
            <family val="2"/>
            <scheme val="minor"/>
          </rPr>
          <t>Het top- en takhout kan verwerkt worden tot brandhout of houtchips (energiehout)</t>
        </r>
      </text>
    </comment>
    <comment ref="J39" authorId="0">
      <text>
        <r>
          <rPr>
            <sz val="9"/>
            <color indexed="81"/>
            <rFont val="Calibri"/>
            <family val="2"/>
            <scheme val="minor"/>
          </rPr>
          <t>Dit is het volume tak- en tophout dat niet geoogst zal worden, maar teruggegeven wordt aan de natuur</t>
        </r>
      </text>
    </comment>
    <comment ref="D42" authorId="0">
      <text>
        <r>
          <rPr>
            <sz val="9"/>
            <color indexed="81"/>
            <rFont val="Calibri"/>
            <family val="2"/>
            <scheme val="minor"/>
          </rPr>
          <t>De indicatieve aankoopprijs is een richtprijs waarvoor het hout op stam verkocht kan worden. Deze richtprijs werd berekend op basis van vorige openbare verkopen. Het spreekt voor zich dat werkhout een hogere prijs heeft dan brandhout, maar omdat het hout op stam verkocht wordt is er slechts een indicatieve prijs voor de totale waarde (€/m³) van het hout op stam</t>
        </r>
      </text>
    </comment>
    <comment ref="D44" authorId="0">
      <text>
        <r>
          <rPr>
            <sz val="9"/>
            <color indexed="81"/>
            <rFont val="Calibri"/>
            <family val="2"/>
            <scheme val="minor"/>
          </rPr>
          <t>Vul hier de indicatieve aankoopprijs voor het werkhout in</t>
        </r>
      </text>
    </comment>
    <comment ref="F44" authorId="0">
      <text>
        <r>
          <rPr>
            <sz val="9"/>
            <color indexed="81"/>
            <rFont val="Calibri"/>
            <family val="2"/>
            <scheme val="minor"/>
          </rPr>
          <t>Vul hier de indicatieve aankoopprijs voor het industriehout in</t>
        </r>
      </text>
    </comment>
    <comment ref="H44" authorId="0">
      <text>
        <r>
          <rPr>
            <sz val="9"/>
            <color indexed="81"/>
            <rFont val="Calibri"/>
            <family val="2"/>
            <scheme val="minor"/>
          </rPr>
          <t>Vul hier de indicatieve aankoopprijs voor het tak- en tophout in</t>
        </r>
      </text>
    </comment>
    <comment ref="D46" authorId="0">
      <text>
        <r>
          <rPr>
            <sz val="9"/>
            <color indexed="81"/>
            <rFont val="Calibri"/>
            <family val="2"/>
            <scheme val="minor"/>
          </rPr>
          <t>De gemiddelde aankoopprijs is een hulpmiddel om in te schatten of de aankoopprijs volgens de verdeling werk-, industrie- en tak- en tophout overeen komt met de indicatieve aankoopprijs</t>
        </r>
      </text>
    </comment>
    <comment ref="D53" authorId="0">
      <text>
        <r>
          <rPr>
            <sz val="9"/>
            <color indexed="81"/>
            <rFont val="Calibri"/>
            <family val="2"/>
            <scheme val="minor"/>
          </rPr>
          <t>Vul in de oranje vakken onderaan het aantal uren dat elke machine gewerkt heeft per dag
bv. =6+7,45+5
(=6 uur dag 1 + 7,45 uur dag 2 + 5 uur dag 3)</t>
        </r>
      </text>
    </comment>
    <comment ref="B58" authorId="0">
      <text>
        <r>
          <rPr>
            <sz val="9"/>
            <color indexed="81"/>
            <rFont val="Calibri"/>
            <family val="2"/>
            <scheme val="minor"/>
          </rPr>
          <t>Dit is een vergoeding voor het transporteren van de oogst- en verwerkingsmachines naar en van het bos/de houtkant</t>
        </r>
      </text>
    </comment>
    <comment ref="B64" authorId="0">
      <text>
        <r>
          <rPr>
            <sz val="9"/>
            <color indexed="81"/>
            <rFont val="Calibri"/>
            <family val="2"/>
            <scheme val="minor"/>
          </rPr>
          <t>Je kan de rijtijd van het bos tot de poort van de fabriek bepalen met Google Maps. De bekomen tijd in minuten doe je maal 2, zo bekom je de tijd die nodig is om heen en terug te rijden</t>
        </r>
      </text>
    </comment>
    <comment ref="D64" authorId="0">
      <text>
        <r>
          <rPr>
            <sz val="9"/>
            <color indexed="81"/>
            <rFont val="Calibri"/>
            <family val="2"/>
            <scheme val="minor"/>
          </rPr>
          <t>Kies hier een transportmiddel. Afhankelijk van het gekozen transportmiddel kan een bepaalde hoeveelheid (ton) per rit getransporteerd worden. (KH) = korthout, (LH) = langhout</t>
        </r>
      </text>
    </comment>
    <comment ref="B66" authorId="0">
      <text>
        <r>
          <rPr>
            <sz val="9"/>
            <color indexed="81"/>
            <rFont val="Calibri"/>
            <family val="2"/>
            <scheme val="minor"/>
          </rPr>
          <t>Geef hier het aantal minuten dat het transport onderbroken wordt. Dit kan doordat de verschillende onderdelen in de logistieke keten niet goed op mekaar zijn afgestemd (bv. file, wachten bij het laden, pech…)</t>
        </r>
      </text>
    </comment>
    <comment ref="D74" authorId="0">
      <text>
        <r>
          <rPr>
            <sz val="9"/>
            <color indexed="81"/>
            <rFont val="Calibri"/>
            <family val="2"/>
            <scheme val="minor"/>
          </rPr>
          <t>Vul in de oranje vakken onderaan het aantal uren dat elke machine gewerkt heeft per dag
bv. =6+7,45+5
(=6 uur dag 1 + 7,45 uur dag 2 + 5 uur dag 3)</t>
        </r>
      </text>
    </comment>
    <comment ref="B79" authorId="0">
      <text>
        <r>
          <rPr>
            <sz val="9"/>
            <color indexed="81"/>
            <rFont val="Calibri"/>
            <family val="2"/>
            <scheme val="minor"/>
          </rPr>
          <t>Dit is een vergoeding voor het transporteren van de oogst- en verwerkingsmachines naar en van het bos/de houtkant</t>
        </r>
      </text>
    </comment>
    <comment ref="B85" authorId="0">
      <text>
        <r>
          <rPr>
            <sz val="9"/>
            <color indexed="81"/>
            <rFont val="Calibri"/>
            <family val="2"/>
            <scheme val="minor"/>
          </rPr>
          <t>Je kan de rijtijd van het bos tot de poort van de fabriek bepalen met Google Maps. De bekomen tijd in minuten doe je maal 2, zo bekom je de tijd die nodig is om heen en terug te rijden</t>
        </r>
      </text>
    </comment>
    <comment ref="D85" authorId="0">
      <text>
        <r>
          <rPr>
            <sz val="9"/>
            <color indexed="81"/>
            <rFont val="Calibri"/>
            <family val="2"/>
            <scheme val="minor"/>
          </rPr>
          <t>Kies hier een transportmiddel. Afhankelijk van het gekozen transportmiddel kan een bepaalde hoeveelheid (ton) per rit getransporteerd worden. (KH) = korthout, (LH) = langhout</t>
        </r>
      </text>
    </comment>
    <comment ref="B87" authorId="0">
      <text>
        <r>
          <rPr>
            <sz val="9"/>
            <color indexed="81"/>
            <rFont val="Calibri"/>
            <family val="2"/>
            <scheme val="minor"/>
          </rPr>
          <t>Geef hier het aantal minuten dat het transport onderbroken wordt. Dit kan doordat de verschillende onderdelen in de logistieke keten niet goed op mekaar zijn afgestemd (bv. file, wachten bij het laden, pech…)</t>
        </r>
      </text>
    </comment>
    <comment ref="D95" authorId="0">
      <text>
        <r>
          <rPr>
            <sz val="9"/>
            <color indexed="81"/>
            <rFont val="Calibri"/>
            <family val="2"/>
            <scheme val="minor"/>
          </rPr>
          <t>Vul in de oranje vakken onderaan het aantal uren dat elke machine gewerkt heeft per dag
bv. =6+7,45+5
(=6 uur dag 1 + 7,45 uur dag 2 + 5 uur dag 3)</t>
        </r>
      </text>
    </comment>
    <comment ref="B102" authorId="0">
      <text>
        <r>
          <rPr>
            <sz val="9"/>
            <color indexed="81"/>
            <rFont val="Calibri"/>
            <family val="2"/>
            <scheme val="minor"/>
          </rPr>
          <t>Dit is een vergoeding voor het transporteren van de oogst- en verwerkingsmachines naar en van het bos/de houtkant</t>
        </r>
      </text>
    </comment>
    <comment ref="B108" authorId="0">
      <text>
        <r>
          <rPr>
            <sz val="9"/>
            <color indexed="81"/>
            <rFont val="Calibri"/>
            <family val="2"/>
            <scheme val="minor"/>
          </rPr>
          <t>Kies hier het vochtgehalte van het energiehout bij levering aan de poort van de biomassainstallatie of de koper. Bij energiehout is het vochtgehalte belangrijk om een prijs te bepalen. Hoe lager het vochtgehalte hoe hoger de energetische en financiële waarde</t>
        </r>
      </text>
    </comment>
    <comment ref="H108" authorId="0">
      <text>
        <r>
          <rPr>
            <sz val="9"/>
            <color indexed="81"/>
            <rFont val="Calibri"/>
            <family val="2"/>
            <scheme val="minor"/>
          </rPr>
          <t>Brandhout: kies hier de verwerkingsvorm
 indien het tak- en tophout verwerkt wordt tot brandhout. Opmerking: (B) = los gestort of bulk, (G) = gestapeld</t>
        </r>
      </text>
    </comment>
    <comment ref="L108" authorId="0">
      <text>
        <r>
          <rPr>
            <sz val="9"/>
            <color indexed="81"/>
            <rFont val="Calibri"/>
            <family val="2"/>
            <scheme val="minor"/>
          </rPr>
          <t>Houtchips: indien het tak- en tophout verwerkt wordt tot houtchips, kies dan hier de kalibratie (</t>
        </r>
        <r>
          <rPr>
            <sz val="9"/>
            <color indexed="81"/>
            <rFont val="Calibri"/>
            <family val="2"/>
          </rPr>
          <t>Önorm)</t>
        </r>
        <r>
          <rPr>
            <sz val="9"/>
            <color indexed="81"/>
            <rFont val="Calibri"/>
            <family val="2"/>
            <scheme val="minor"/>
          </rPr>
          <t>.
Dit is afhankelijk van de gebruikte chipper. Ken je de kalibratie niet, kies dan voor 'G-klasse niet gekend'</t>
        </r>
      </text>
    </comment>
    <comment ref="B113" authorId="0">
      <text>
        <r>
          <rPr>
            <sz val="9"/>
            <color indexed="81"/>
            <rFont val="Calibri"/>
            <family val="2"/>
            <scheme val="minor"/>
          </rPr>
          <t>Je kan de rijtijd van het bos tot de poort van de fabriek bepalen met Google Maps. De bekomen tijd in minuten doe je maal 2, zo bekom je de tijd die nodig is om heen en terug te rijden</t>
        </r>
      </text>
    </comment>
    <comment ref="D113" authorId="0">
      <text>
        <r>
          <rPr>
            <sz val="9"/>
            <color indexed="81"/>
            <rFont val="Calibri"/>
            <family val="2"/>
            <scheme val="minor"/>
          </rPr>
          <t>Kies hier een transportmiddel. Afhankelijk van het gekozen transportmiddel kan een bepaalde hoeveelheid (m³) per rit getransporteerd worden. VW staat voor vrachtwagen</t>
        </r>
      </text>
    </comment>
    <comment ref="B115" authorId="0">
      <text>
        <r>
          <rPr>
            <sz val="9"/>
            <color indexed="81"/>
            <rFont val="Calibri"/>
            <family val="2"/>
            <scheme val="minor"/>
          </rPr>
          <t>Geef hier het aantal minuten dat het transport onderbroken wordt. Dit kan doordat de verschillende onderdelen in de logistieke keten niet goed op mekaar zijn afgestemd (bv. file, wachten bij het laden, pech…)</t>
        </r>
      </text>
    </comment>
    <comment ref="B123" authorId="0">
      <text>
        <r>
          <rPr>
            <sz val="9"/>
            <color indexed="81"/>
            <rFont val="Calibri"/>
            <family val="2"/>
            <scheme val="minor"/>
          </rPr>
          <t>Afhankelijk van het aandeel zand en de vervuilingsgraad wordt een prijsvermindering toegepast. Deze prijsvermindering is enkel van toepassing op houtchips, niet op brandhout</t>
        </r>
      </text>
    </comment>
    <comment ref="D136" authorId="0">
      <text>
        <r>
          <rPr>
            <sz val="9"/>
            <color indexed="81"/>
            <rFont val="Calibri"/>
            <family val="2"/>
            <scheme val="minor"/>
          </rPr>
          <t>Vul hier de prijs (€/m³) in die de koper krijgt voor het werkhout</t>
        </r>
      </text>
    </comment>
    <comment ref="F136" authorId="0">
      <text>
        <r>
          <rPr>
            <sz val="9"/>
            <color indexed="81"/>
            <rFont val="Calibri"/>
            <family val="2"/>
            <scheme val="minor"/>
          </rPr>
          <t>Vul hier de prijs (€/m³) in die de koper krijgt voor  het industriehout</t>
        </r>
      </text>
    </comment>
    <comment ref="H136" authorId="0">
      <text>
        <r>
          <rPr>
            <sz val="9"/>
            <color indexed="81"/>
            <rFont val="Calibri"/>
            <family val="2"/>
            <scheme val="minor"/>
          </rPr>
          <t>Vul hier de prijs in die de koper krijgt voor het brandhout (€/stère) of de houtchips (€/ton)</t>
        </r>
      </text>
    </comment>
  </commentList>
</comments>
</file>

<file path=xl/sharedStrings.xml><?xml version="1.0" encoding="utf-8"?>
<sst xmlns="http://schemas.openxmlformats.org/spreadsheetml/2006/main" count="550" uniqueCount="329">
  <si>
    <t>Totaal tonnage</t>
  </si>
  <si>
    <r>
      <t>A1 &lt;</t>
    </r>
    <r>
      <rPr>
        <sz val="11"/>
        <color theme="1"/>
        <rFont val="Calibri"/>
        <family val="2"/>
      </rPr>
      <t>0,5</t>
    </r>
    <r>
      <rPr>
        <sz val="11"/>
        <color theme="1"/>
        <rFont val="Calibri"/>
        <family val="2"/>
        <scheme val="minor"/>
      </rPr>
      <t>%</t>
    </r>
  </si>
  <si>
    <t>A2 &lt;0,5 en &lt;2%</t>
  </si>
  <si>
    <t>N.v.t.</t>
  </si>
  <si>
    <t>G30</t>
  </si>
  <si>
    <t>G40</t>
  </si>
  <si>
    <t>G50</t>
  </si>
  <si>
    <t>G20</t>
  </si>
  <si>
    <t>Theoretisch aantal ritten</t>
  </si>
  <si>
    <t>Werkelijk aantal ritten</t>
  </si>
  <si>
    <t>Beuk</t>
  </si>
  <si>
    <t>Verchipfactor</t>
  </si>
  <si>
    <r>
      <t>Volumieke massa (kg/m</t>
    </r>
    <r>
      <rPr>
        <vertAlign val="superscript"/>
        <sz val="11"/>
        <color theme="1"/>
        <rFont val="Calibri"/>
        <family val="2"/>
        <scheme val="minor"/>
      </rPr>
      <t>3</t>
    </r>
    <r>
      <rPr>
        <sz val="11"/>
        <color theme="1"/>
        <rFont val="Calibri"/>
        <family val="2"/>
        <scheme val="minor"/>
      </rPr>
      <t>)</t>
    </r>
  </si>
  <si>
    <t>Harvester</t>
  </si>
  <si>
    <t>Kraan met knipkop</t>
  </si>
  <si>
    <t>Kraan met zaagkop</t>
  </si>
  <si>
    <t>Forwarder</t>
  </si>
  <si>
    <t>Uitrijden hout</t>
  </si>
  <si>
    <t>Gemiddeld</t>
  </si>
  <si>
    <t>Vergelijken functie:</t>
  </si>
  <si>
    <t>Kettingzaag</t>
  </si>
  <si>
    <t>Uitrijwagen met tractor</t>
  </si>
  <si>
    <t>Transportmiddel</t>
  </si>
  <si>
    <t>Kostprijs wachten</t>
  </si>
  <si>
    <t>Kostprijs /heen en terug</t>
  </si>
  <si>
    <r>
      <t>Wachtijd (</t>
    </r>
    <r>
      <rPr>
        <b/>
        <sz val="11"/>
        <color theme="1"/>
        <rFont val="Calibri"/>
        <family val="2"/>
      </rPr>
      <t>€/</t>
    </r>
    <r>
      <rPr>
        <b/>
        <sz val="11"/>
        <color theme="1"/>
        <rFont val="Calibri"/>
        <family val="2"/>
        <scheme val="minor"/>
      </rPr>
      <t>minuut):</t>
    </r>
  </si>
  <si>
    <t>Transportkost</t>
  </si>
  <si>
    <t>Industriehout</t>
  </si>
  <si>
    <t>Werkhout</t>
  </si>
  <si>
    <t>Euro/m³</t>
  </si>
  <si>
    <t>Verzamelen en uitrijden hout (€/m³):</t>
  </si>
  <si>
    <t>Tonnage</t>
  </si>
  <si>
    <t>Maximale ton/rit</t>
  </si>
  <si>
    <t>Oogsten</t>
  </si>
  <si>
    <t>Vrachtwagen (KH)</t>
  </si>
  <si>
    <t>G-klasse niet gekend</t>
  </si>
  <si>
    <t>Hoogte</t>
  </si>
  <si>
    <t>m</t>
  </si>
  <si>
    <t>m³</t>
  </si>
  <si>
    <t>Gemiddelde hoogte boom</t>
  </si>
  <si>
    <t>Verloop</t>
  </si>
  <si>
    <t>Werkhout/boom (m³)</t>
  </si>
  <si>
    <t>Resterende stam</t>
  </si>
  <si>
    <t xml:space="preserve">Lengte stamstuk werkhout </t>
  </si>
  <si>
    <t>Lengte stamstuk industriehout</t>
  </si>
  <si>
    <t>Afkortdiameter stamstuk</t>
  </si>
  <si>
    <t>Biomassa expansiefactoren (BEF):</t>
  </si>
  <si>
    <t>Boomsoort</t>
  </si>
  <si>
    <t>Verg. functie:</t>
  </si>
  <si>
    <t>Afkortdiameter 2 (industriehout-energiehout)</t>
  </si>
  <si>
    <t>Afkortdiameter 1 (werkhout-industriehout)</t>
  </si>
  <si>
    <t>Lengte stamstuk energiehout</t>
  </si>
  <si>
    <t>Industriehout/boom (m³)</t>
  </si>
  <si>
    <t>Stamlengte werkhout (m)</t>
  </si>
  <si>
    <t>Stamlengte industriehout (m)</t>
  </si>
  <si>
    <t>REFERENTIES:</t>
  </si>
  <si>
    <t>4) Effecten van oogst van takhout op de voedingstoestand en bijgroei van bos, J.J. de Jong, Alterra rapport 2202, Wageningen, 2011</t>
  </si>
  <si>
    <t>3) Kwantificeren van beschikbare biomassa voor bio-energie uit Staatsbosbeheerterreinen,G.W. Tolkamp, C.A. van den Berg, G.J.M.M. Nabuurs, A.F.M. Olsthoorn, Alterra rapport 1380, Wageningen, 2006</t>
  </si>
  <si>
    <t xml:space="preserve">1) Spreadsheet for the calculation of parameters and prices of wood fuel assortments, Klima Activ Oostenrijks Energie Agentschap, </t>
  </si>
  <si>
    <t>2) Houtige biomassa voor energie in Limburg, MIP-project, Gybels, R., Wouters, R., Schuurmans, B. &amp; Verbeke, W., Inverde expertisecentrum 2012
Houtige biomassa voor energie in Limburg. Eindrapport van het MIP2-project
“Limburgs groen voor een groene economie”, 159 pp.</t>
  </si>
  <si>
    <r>
      <t>3) KOBE-rapport B3, Technieken en strategie</t>
    </r>
    <r>
      <rPr>
        <sz val="11"/>
        <color theme="1"/>
        <rFont val="Calibri"/>
        <family val="2"/>
      </rPr>
      <t>ën voor de oogst van houtie biomassa,resultaten van de terreinexperimenten in "Bosland", Jeroen Osselaere, Pieter Vangansbeke, ANB en Inverde 2013
Pieter Vangansbeke
UITGEVOERD IN “BOSLAND”</t>
    </r>
    <r>
      <rPr>
        <sz val="11"/>
        <color theme="1"/>
        <rFont val="Calibri"/>
        <family val="2"/>
        <scheme val="minor"/>
      </rPr>
      <t xml:space="preserve">
VOOR DE OOGST VAN HOUTIGE
BIOMASSA (B3)
RESULTATEN VAN DE TERREINEXPERIMENTEN
UITGEVOERD IN “BOSLAND” </t>
    </r>
  </si>
  <si>
    <t>4) KOBE-rapport B9, Wijze biomassaverkoop, resultaten van 2 praktijkgevallen en een workshop, Kim Dekeyser, Willy Verbeke, ANB en Inverde 2013</t>
  </si>
  <si>
    <t>2) Growing stock-based assessment of the carbon stock, Inge Vande Walle, Nancy Van Camp, Dominique Perrin, Raoul Lemeur, Kris Verheyen, © INRA, EDP Sciences, 2005 
Bas VAN WESEMAELd, Eric LAITATc
Growing stock-based assessment of the carbon stock
in the Belgian forest biomass</t>
  </si>
  <si>
    <t>1) Ministerie van de Vlaamse Gemeenschap, Afdeling Bos en Groen, Meten van bomen en bossen, Cursus bosbouwbekwaamheid, Frederik Vaes, Educatief Bosbouwcentrum Groenendaal, 2001</t>
  </si>
  <si>
    <t>BEPALEN WERKHOUT (mediaanboom):</t>
  </si>
  <si>
    <t>BEPALEN INDUSTRIEHOUT (mediaanboom):</t>
  </si>
  <si>
    <t>Aftopdiameter (m)</t>
  </si>
  <si>
    <t>Totaal volume - (werkhout + energiehout) =</t>
  </si>
  <si>
    <t>Biomassa expansiefactor (BEF)</t>
  </si>
  <si>
    <t>Volume takhout</t>
  </si>
  <si>
    <t>Aftopdiameter energiehout</t>
  </si>
  <si>
    <t>Volume tophout</t>
  </si>
  <si>
    <t>Ø stamstuk werkhout op 0,5 hoogte</t>
  </si>
  <si>
    <t>Ø stamstuk energiehout op 0,5 hoogte</t>
  </si>
  <si>
    <r>
      <t>Volume spilhout (m</t>
    </r>
    <r>
      <rPr>
        <vertAlign val="superscript"/>
        <sz val="11"/>
        <color theme="1"/>
        <rFont val="Calibri"/>
        <family val="2"/>
        <scheme val="minor"/>
      </rPr>
      <t>3</t>
    </r>
    <r>
      <rPr>
        <sz val="11"/>
        <color theme="1"/>
        <rFont val="Calibri"/>
        <family val="2"/>
        <scheme val="minor"/>
      </rPr>
      <t>)</t>
    </r>
  </si>
  <si>
    <t>Volume met formule Huber (resterende stamstuk)</t>
  </si>
  <si>
    <t>Totaal volume - resterende stamstuk =</t>
  </si>
  <si>
    <t>(%)</t>
  </si>
  <si>
    <t>Tonnage takhout</t>
  </si>
  <si>
    <t>Totaal oogstbaar volume</t>
  </si>
  <si>
    <t>Totaal volume (m³)</t>
  </si>
  <si>
    <t>Grove den</t>
  </si>
  <si>
    <t>Populier</t>
  </si>
  <si>
    <t>Tractor met lier</t>
  </si>
  <si>
    <t>Skidder</t>
  </si>
  <si>
    <t>Return to nature</t>
  </si>
  <si>
    <t>% industriehout</t>
  </si>
  <si>
    <t>% werkhout</t>
  </si>
  <si>
    <t>% tophout</t>
  </si>
  <si>
    <t>% takhout</t>
  </si>
  <si>
    <t>Volumieke massa (kg/m³)</t>
  </si>
  <si>
    <t>Tonnage spilhout</t>
  </si>
  <si>
    <t>Oogstbaar volume %</t>
  </si>
  <si>
    <t>BEPALEN TAK- EN TOPHOUT (mediaanboom):</t>
  </si>
  <si>
    <t>Stamlengte tophout (m)</t>
  </si>
  <si>
    <t>Gemiddelde hoogte (m)</t>
  </si>
  <si>
    <t>Container carrier</t>
  </si>
  <si>
    <t>1. Algemene parameters en verdeling werk-, industrie- en energiehout:</t>
  </si>
  <si>
    <r>
      <t>Aanrijvergoedingen (</t>
    </r>
    <r>
      <rPr>
        <sz val="11"/>
        <color theme="1"/>
        <rFont val="Calibri"/>
        <family val="2"/>
      </rPr>
      <t>€</t>
    </r>
    <r>
      <rPr>
        <sz val="10.45"/>
        <color theme="1"/>
        <rFont val="Calibri"/>
        <family val="2"/>
      </rPr>
      <t>)</t>
    </r>
  </si>
  <si>
    <t>Oogstkost</t>
  </si>
  <si>
    <t>Prijsvermindering as:</t>
  </si>
  <si>
    <t>Aankoop hout op stam:</t>
  </si>
  <si>
    <t>Exploitatie en transport</t>
  </si>
  <si>
    <t>Totaal kosten</t>
  </si>
  <si>
    <t>Eenheidsprijzen verkoop:</t>
  </si>
  <si>
    <t>Aankoop hout op stam</t>
  </si>
  <si>
    <t>2. Volumebepaling werkhout, industrie- en energiehout op bestandsniveau en aankoop hout op stam:</t>
  </si>
  <si>
    <t>Exploitatiekost</t>
  </si>
  <si>
    <t>Verkoop hout</t>
  </si>
  <si>
    <t>Netto opbrengsten</t>
  </si>
  <si>
    <t>Totaal verkoop:</t>
  </si>
  <si>
    <t>Totaal kosten:</t>
  </si>
  <si>
    <t>Aankoop hout</t>
  </si>
  <si>
    <t>Tak- en tophout</t>
  </si>
  <si>
    <t>ton/eenheid</t>
  </si>
  <si>
    <t>Overzicht:</t>
  </si>
  <si>
    <t>Eenheid</t>
  </si>
  <si>
    <t>Grootte bestand (ha)</t>
  </si>
  <si>
    <t>+</t>
  </si>
  <si>
    <t>=</t>
  </si>
  <si>
    <t>Euro/ha</t>
  </si>
  <si>
    <t>Totaal energiehout:</t>
  </si>
  <si>
    <t>Totaal industriehout:</t>
  </si>
  <si>
    <t>Totaal transportkost:</t>
  </si>
  <si>
    <t>Volume m³</t>
  </si>
  <si>
    <t>Oogstbaar volume m³</t>
  </si>
  <si>
    <t>6) Kostenefficiënte en 
verantwoorde oogst van 
tak- en tophout, Martijn Boosten &amp; Jan Oldenburger, Probos Wageningen december 2013</t>
  </si>
  <si>
    <t>Euro/ton</t>
  </si>
  <si>
    <r>
      <t>Euro/m</t>
    </r>
    <r>
      <rPr>
        <b/>
        <vertAlign val="superscript"/>
        <sz val="11"/>
        <rFont val="Calibri"/>
        <family val="2"/>
        <scheme val="minor"/>
      </rPr>
      <t>3</t>
    </r>
  </si>
  <si>
    <t>Gem. volume/boom (m³)</t>
  </si>
  <si>
    <t>Inlandse eik</t>
  </si>
  <si>
    <t>Berk</t>
  </si>
  <si>
    <t>Amerikaanse eik</t>
  </si>
  <si>
    <t>-</t>
  </si>
  <si>
    <t>Tamme kastanje</t>
  </si>
  <si>
    <t>Es</t>
  </si>
  <si>
    <t>Esdoorn</t>
  </si>
  <si>
    <t>Boskers</t>
  </si>
  <si>
    <t>Ander loofhout</t>
  </si>
  <si>
    <t>Lariks</t>
  </si>
  <si>
    <t>Fijnspar</t>
  </si>
  <si>
    <t>Douglas</t>
  </si>
  <si>
    <t>Ander naaldhout</t>
  </si>
  <si>
    <t>Takbezetting</t>
  </si>
  <si>
    <t>Netto opbrengst/ha:</t>
  </si>
  <si>
    <t>Netto opbrengst bestand:</t>
  </si>
  <si>
    <t>Netto opbrengst/m³:</t>
  </si>
  <si>
    <t>Totaal:</t>
  </si>
  <si>
    <t>Stapelfactor</t>
  </si>
  <si>
    <t>50 cm, gekliefd</t>
  </si>
  <si>
    <t>30 cm, gekliefd</t>
  </si>
  <si>
    <t>1 m, ongekliefd</t>
  </si>
  <si>
    <t xml:space="preserve">   1.1 Parameters algemeen</t>
  </si>
  <si>
    <r>
      <t xml:space="preserve">Indicatieve aankoopprijs </t>
    </r>
    <r>
      <rPr>
        <sz val="11"/>
        <color theme="1"/>
        <rFont val="Calibri"/>
        <family val="2"/>
      </rPr>
      <t>€/m³:</t>
    </r>
  </si>
  <si>
    <t>Aankoop hout op stam €/m³:</t>
  </si>
  <si>
    <r>
      <t xml:space="preserve">Gemiddelde aankoopprijs  </t>
    </r>
    <r>
      <rPr>
        <sz val="11"/>
        <color theme="1"/>
        <rFont val="Calibri"/>
        <family val="2"/>
      </rPr>
      <t>€/m³:</t>
    </r>
  </si>
  <si>
    <t>Massief volume m³:</t>
  </si>
  <si>
    <t>Totaal volume m³</t>
  </si>
  <si>
    <t>Contactpersoon:</t>
  </si>
  <si>
    <t>Gemiddelde opbrengst/m³:</t>
  </si>
  <si>
    <t>Totale opbrengst/ha:</t>
  </si>
  <si>
    <t>Totale opbrengst bestand:</t>
  </si>
  <si>
    <t>ALGEMEEN:</t>
  </si>
  <si>
    <t>3. Berekenen van de oogst- en transportkosten voor het werkhout:</t>
  </si>
  <si>
    <t>4. Berekenen van de oogst- en transportkosten voor het industriehout:</t>
  </si>
  <si>
    <t>5. Berekenen van de oogst- en transportkosten voor het tak- en tophout (energiehout):</t>
  </si>
  <si>
    <t>Oogstmachine  (€/m³):</t>
  </si>
  <si>
    <t>Verchippen/verwerken (€/m³):</t>
  </si>
  <si>
    <t>Brandhout:</t>
  </si>
  <si>
    <t>Volumieke massa:</t>
  </si>
  <si>
    <t>Verwerken</t>
  </si>
  <si>
    <t>Kalibratie/Oostenrijkse norm:</t>
  </si>
  <si>
    <t>Brandhout</t>
  </si>
  <si>
    <t>Volume takhout (m³)</t>
  </si>
  <si>
    <t>6. Inkomsten - uitgaven = opbrengsten</t>
  </si>
  <si>
    <t>7. Verhouding uitgaven, inkomsten en opbrengsten:</t>
  </si>
  <si>
    <t>GRAFIEKEN EN OVERZICHT:</t>
  </si>
  <si>
    <t>Houtprijzen</t>
  </si>
  <si>
    <t>stère</t>
  </si>
  <si>
    <t>ton</t>
  </si>
  <si>
    <t>Hoeveelheid</t>
  </si>
  <si>
    <t>Hoeveelheden:</t>
  </si>
  <si>
    <t xml:space="preserve">   5.2 Parameters voor het bepalen van het gewicht en het volume van het top- en takhout (energiehout)</t>
  </si>
  <si>
    <t>% tak- en tophout</t>
  </si>
  <si>
    <t xml:space="preserve">Tophoutvolume + takhoutvolume = </t>
  </si>
  <si>
    <t>Gebruikt als of verwerkt tot:</t>
  </si>
  <si>
    <t>Hardhout</t>
  </si>
  <si>
    <t>Zachthout</t>
  </si>
  <si>
    <t>Droog hardhout</t>
  </si>
  <si>
    <t>Droog zachthout</t>
  </si>
  <si>
    <r>
      <t>Boomsoort (</t>
    </r>
    <r>
      <rPr>
        <b/>
        <sz val="11"/>
        <color theme="1"/>
        <rFont val="Calibri"/>
        <family val="2"/>
      </rPr>
      <t>€/m³/omtrekklasse):</t>
    </r>
  </si>
  <si>
    <t>BRANDHOUT geleverd aan de deur van de koper (verkoopprijs aan particulier):</t>
  </si>
  <si>
    <t>5) Normenboek Natuur, Bos en Landschap, Alterrra Wageningen 2014</t>
  </si>
  <si>
    <t>%</t>
  </si>
  <si>
    <t>Tak- en tophout oogsten?</t>
  </si>
  <si>
    <t>Niets oogsten</t>
  </si>
  <si>
    <t>Alles oogsten</t>
  </si>
  <si>
    <t>Enkel toppen</t>
  </si>
  <si>
    <t>HOUT OP STAM aankoop (richtprijzen openbare verkoop, 2013):</t>
  </si>
  <si>
    <t>Technisch oogstverlies %</t>
  </si>
  <si>
    <r>
      <t>Geoogste bomen/ha (</t>
    </r>
    <r>
      <rPr>
        <sz val="11"/>
        <color theme="1"/>
        <rFont val="Calibri"/>
        <family val="2"/>
      </rPr>
      <t>±</t>
    </r>
    <r>
      <rPr>
        <sz val="9.9"/>
        <color theme="1"/>
        <rFont val="Calibri"/>
        <family val="2"/>
      </rPr>
      <t>)</t>
    </r>
  </si>
  <si>
    <t>Vochtgehalte</t>
  </si>
  <si>
    <t>Corsicaanse den</t>
  </si>
  <si>
    <t>Verwerking brandhout</t>
  </si>
  <si>
    <t>Netto opbrengst/ton:</t>
  </si>
  <si>
    <t>Gemiddelde opbrengst/ton:</t>
  </si>
  <si>
    <t xml:space="preserve">   1.2 Berekenen van het volume werkhout (mediaanboom)</t>
  </si>
  <si>
    <t xml:space="preserve">   1.3 Berekenen van het volume industiehout (mediaanboom)</t>
  </si>
  <si>
    <t xml:space="preserve">   1.4 Berekenen van het volume tak- en tophout (mediaanboom), inclusief het oogstverlies (Return to nature)</t>
  </si>
  <si>
    <t xml:space="preserve">   3.1 Berekenen van de kosten voor het oogsten en uitrijden van het werkhout</t>
  </si>
  <si>
    <t xml:space="preserve">   3.2 Berekenen van de kosten voor het transport, heen en terug, van het werkhout naar de zagerij</t>
  </si>
  <si>
    <t xml:space="preserve">   4.1 Berekenen van de kosten voor het oogsten en uitrijden van het industriehout (OSB, spaanplaat, papier …)</t>
  </si>
  <si>
    <t xml:space="preserve">   4.2 Berekenen van de kosten voor het transport, heen en terug, van het industriehout naar de fabriek</t>
  </si>
  <si>
    <t xml:space="preserve">   5.1 Berekenen van de kosten voor het oogsten, uitrijden en verwerken van het tak- en tophout (energiehout)</t>
  </si>
  <si>
    <t xml:space="preserve">   5.3 Berekenen van de kosten voor het transport, heen en terug, van het tak- en tophout (energiehout)</t>
  </si>
  <si>
    <r>
      <t>€</t>
    </r>
    <r>
      <rPr>
        <b/>
        <sz val="10.25"/>
        <color theme="1"/>
        <rFont val="Calibri"/>
        <family val="2"/>
      </rPr>
      <t>/minuut</t>
    </r>
  </si>
  <si>
    <t>Kostprijs rijden</t>
  </si>
  <si>
    <t>Kostprijs wachten/minuut</t>
  </si>
  <si>
    <t>Kostprijs rijden/minuut</t>
  </si>
  <si>
    <t>Wachttijd heen en terug</t>
  </si>
  <si>
    <t>Rijtijd heen en terug</t>
  </si>
  <si>
    <t>Euro/uur</t>
  </si>
  <si>
    <t>Gem. tonnage/boom</t>
  </si>
  <si>
    <r>
      <t>€</t>
    </r>
    <r>
      <rPr>
        <b/>
        <sz val="10.25"/>
        <color theme="1"/>
        <rFont val="Calibri"/>
        <family val="2"/>
      </rPr>
      <t>/uur</t>
    </r>
  </si>
  <si>
    <t>Hulptabel:</t>
  </si>
  <si>
    <t>Veldiameter (m)</t>
  </si>
  <si>
    <t>Doorkortdiameter (m)</t>
  </si>
  <si>
    <r>
      <t xml:space="preserve">Oogstbaar tak- </t>
    </r>
    <r>
      <rPr>
        <sz val="11"/>
        <color theme="1"/>
        <rFont val="Calibri"/>
        <family val="2"/>
      </rPr>
      <t>&amp;</t>
    </r>
    <r>
      <rPr>
        <sz val="11"/>
        <color theme="1"/>
        <rFont val="Calibri"/>
        <family val="2"/>
        <scheme val="minor"/>
      </rPr>
      <t xml:space="preserve"> tophout (m³)</t>
    </r>
  </si>
  <si>
    <t>A1 &lt;0,5%</t>
  </si>
  <si>
    <t>Totaal werkhout:</t>
  </si>
  <si>
    <t>Kraan en kettingzaag</t>
  </si>
  <si>
    <t>Transportmiddelen stamhout:</t>
  </si>
  <si>
    <t>UURPRIJZEN MACHINES EN PERSONEN:</t>
  </si>
  <si>
    <t>Tractor, 1 container</t>
  </si>
  <si>
    <t>VW, 1 container</t>
  </si>
  <si>
    <t>VW, 2 containers</t>
  </si>
  <si>
    <t>VW, 1 container+</t>
  </si>
  <si>
    <t>VW, 2 containers+</t>
  </si>
  <si>
    <r>
      <t>bulk m</t>
    </r>
    <r>
      <rPr>
        <b/>
        <vertAlign val="superscript"/>
        <sz val="11"/>
        <color theme="1"/>
        <rFont val="Calibri"/>
        <family val="2"/>
        <scheme val="minor"/>
      </rPr>
      <t>3</t>
    </r>
    <r>
      <rPr>
        <b/>
        <sz val="11"/>
        <color theme="1"/>
        <rFont val="Calibri"/>
        <family val="2"/>
        <scheme val="minor"/>
      </rPr>
      <t>/eenheid</t>
    </r>
  </si>
  <si>
    <t>Gestapeld volume (stère)</t>
  </si>
  <si>
    <t>Verchipt volume (bulk m³)</t>
  </si>
  <si>
    <t>Maximale bulk m³/rit</t>
  </si>
  <si>
    <t>30 cm, gekliefd (B)</t>
  </si>
  <si>
    <t>50 cm, gekliefd (B)</t>
  </si>
  <si>
    <t>Return to nature %</t>
  </si>
  <si>
    <t>Return to nature (m³)</t>
  </si>
  <si>
    <t>BEPALEN RETURN TO NATURE</t>
  </si>
  <si>
    <t>Aantal werkuren</t>
  </si>
  <si>
    <t>Geoogst m³</t>
  </si>
  <si>
    <t>Takhout topgedeelte %:</t>
  </si>
  <si>
    <t>Tophoutvolume/boom (m³)</t>
  </si>
  <si>
    <t>Takhoutvolume/boom (m³)</t>
  </si>
  <si>
    <t>Geografische gegevens:</t>
  </si>
  <si>
    <t>Perceel-/bestandsnummer:</t>
  </si>
  <si>
    <t>Geneste als functie:</t>
  </si>
  <si>
    <t>Omtrek (cm):</t>
  </si>
  <si>
    <t>&lt;79</t>
  </si>
  <si>
    <t>&lt;119</t>
  </si>
  <si>
    <t>&lt;159</t>
  </si>
  <si>
    <t>&lt;199</t>
  </si>
  <si>
    <t>&lt;239</t>
  </si>
  <si>
    <t>&lt;99</t>
  </si>
  <si>
    <t>&lt;149</t>
  </si>
  <si>
    <t>&lt;249</t>
  </si>
  <si>
    <t>&lt;299</t>
  </si>
  <si>
    <t>&gt;299</t>
  </si>
  <si>
    <t>&gt;239</t>
  </si>
  <si>
    <t>Verzamelen en uitrijden</t>
  </si>
  <si>
    <t>1 m, gekliefd (G)</t>
  </si>
  <si>
    <t>1 m, gekliefd</t>
  </si>
  <si>
    <t>3 m, ongekliefd (G)</t>
  </si>
  <si>
    <t>Uitrijden chips/brandhout</t>
  </si>
  <si>
    <t>Kost uitrijden</t>
  </si>
  <si>
    <t>Kost verzamelen</t>
  </si>
  <si>
    <t>Kost verwerken</t>
  </si>
  <si>
    <t>30m³ container</t>
  </si>
  <si>
    <t>40m³ container</t>
  </si>
  <si>
    <t>Lengte</t>
  </si>
  <si>
    <t>Breedte</t>
  </si>
  <si>
    <t>2,50m</t>
  </si>
  <si>
    <t>2,55m</t>
  </si>
  <si>
    <t>Binnenafmetingen:</t>
  </si>
  <si>
    <t>5,50m</t>
  </si>
  <si>
    <t>7,00m</t>
  </si>
  <si>
    <t>2,30m</t>
  </si>
  <si>
    <t>Volumebepaling</t>
  </si>
  <si>
    <t>Algemeen en kostprijzen</t>
  </si>
  <si>
    <t>Opmerkingen:</t>
  </si>
  <si>
    <t>&gt;60%</t>
  </si>
  <si>
    <r>
      <t>Brandhout (€/st</t>
    </r>
    <r>
      <rPr>
        <b/>
        <sz val="11"/>
        <color theme="1"/>
        <rFont val="Calibri"/>
        <family val="2"/>
      </rPr>
      <t>è</t>
    </r>
    <r>
      <rPr>
        <b/>
        <sz val="11"/>
        <color theme="1"/>
        <rFont val="Calibri"/>
        <family val="2"/>
        <scheme val="minor"/>
      </rPr>
      <t>re)</t>
    </r>
  </si>
  <si>
    <t>&lt;=35%</t>
  </si>
  <si>
    <t>&lt;=40%</t>
  </si>
  <si>
    <t>&lt;=45%</t>
  </si>
  <si>
    <t>&lt;=50%</t>
  </si>
  <si>
    <t>&lt;=55%</t>
  </si>
  <si>
    <t>&lt;=60%</t>
  </si>
  <si>
    <t>Vochtgehalte energiehout</t>
  </si>
  <si>
    <t>Vochtgehalte op stam</t>
  </si>
  <si>
    <t>VOLUMES ( op bestandsniveau):</t>
  </si>
  <si>
    <t>BEPALEN VOLUME (mediaanboom):</t>
  </si>
  <si>
    <t>OPMERKINGEN:</t>
  </si>
  <si>
    <t>Werkjaar 2015:</t>
  </si>
  <si>
    <r>
      <t>Kosten-batenanalyse: werk-, industrie- en energiehout (</t>
    </r>
    <r>
      <rPr>
        <b/>
        <sz val="24"/>
        <color theme="1"/>
        <rFont val="Calibri"/>
        <family val="2"/>
      </rPr>
      <t>€/uur)</t>
    </r>
  </si>
  <si>
    <t>Gemiddelde omtrek (cm)</t>
  </si>
  <si>
    <t>Gemiddelde diameter op 0,5 hoogte</t>
  </si>
  <si>
    <t>Gemiddelde diameter op borsthoogte (1,5m)</t>
  </si>
  <si>
    <t>Gemiddelde diameter op grondhoogte</t>
  </si>
  <si>
    <t>VW, aanhanger (KH)</t>
  </si>
  <si>
    <t>VW, oplegger (KH)</t>
  </si>
  <si>
    <t>VW, Doll (LH)</t>
  </si>
  <si>
    <t>De vermelde prijzen zijn indicatief en exclusief btw</t>
  </si>
  <si>
    <t>VW, walking floor</t>
  </si>
  <si>
    <t>Chipper met kraan</t>
  </si>
  <si>
    <t>Chipper + opvang</t>
  </si>
  <si>
    <t>Chipper en rupskraan</t>
  </si>
  <si>
    <t xml:space="preserve">   5.4 Prijsvermindering door een te hoog asgehalte (enkel van toepassing op houtchips)</t>
  </si>
  <si>
    <t>Verwerking houtchips</t>
  </si>
  <si>
    <t>Uitrijden houtchips (€/m³):</t>
  </si>
  <si>
    <t>Transportmiddelen houtchips:</t>
  </si>
  <si>
    <t>Houtchips</t>
  </si>
  <si>
    <t>Prijsbepaling houtchips:</t>
  </si>
  <si>
    <t>HOUTCHIPS geleverd aan de poort van de biomassacentrale (verkoopprijs):</t>
  </si>
  <si>
    <t>Biomassa expansiefactor</t>
  </si>
  <si>
    <r>
      <t>Asgehalte (</t>
    </r>
    <r>
      <rPr>
        <sz val="11"/>
        <color theme="1"/>
        <rFont val="Calibri"/>
        <family val="2"/>
      </rPr>
      <t>Önorm)</t>
    </r>
  </si>
  <si>
    <r>
      <t>Asgehalte prijsvermindering (</t>
    </r>
    <r>
      <rPr>
        <b/>
        <sz val="11"/>
        <color theme="1"/>
        <rFont val="Calibri"/>
        <family val="2"/>
      </rPr>
      <t>Önorm):</t>
    </r>
  </si>
  <si>
    <t>Minimaal</t>
  </si>
  <si>
    <t>Maximaal</t>
  </si>
  <si>
    <t>Volume stamhout =</t>
  </si>
  <si>
    <t>Volume Stamhout + takhout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</si>
</sst>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 #,##0.00;[Red]&quot;€&quot;\ \-#,##0.00"/>
    <numFmt numFmtId="43" formatCode="_ * #,##0.00_ ;_ * \-#,##0.00_ ;_ * &quot;-&quot;??_ ;_ @_ "/>
    <numFmt numFmtId="164" formatCode="&quot;€&quot;\ #,##0.00"/>
    <numFmt numFmtId="165" formatCode="0.000_ ;[Red]\-0.000\ "/>
    <numFmt numFmtId="166" formatCode="0.00_ ;[Red]\-0.00\ "/>
    <numFmt numFmtId="167" formatCode="0.0000"/>
    <numFmt numFmtId="168" formatCode="0.000"/>
    <numFmt numFmtId="169" formatCode="0.0"/>
  </numFmts>
  <fonts count="47" x14ac:knownFonts="1">
    <font>
      <sz val="11"/>
      <color theme="1"/>
      <name val="Calibri"/>
      <family val="2"/>
      <scheme val="minor"/>
    </font>
    <font>
      <b/>
      <sz val="11"/>
      <color theme="3"/>
      <name val="Calibri"/>
      <family val="2"/>
      <scheme val="minor"/>
    </font>
    <font>
      <sz val="11"/>
      <color theme="0"/>
      <name val="Calibri"/>
      <family val="2"/>
      <scheme val="minor"/>
    </font>
    <font>
      <sz val="14"/>
      <color theme="1"/>
      <name val="Calibri"/>
      <family val="2"/>
      <scheme val="minor"/>
    </font>
    <font>
      <i/>
      <sz val="11"/>
      <color theme="1"/>
      <name val="Calibri"/>
      <family val="2"/>
      <scheme val="minor"/>
    </font>
    <font>
      <b/>
      <sz val="11"/>
      <color theme="1"/>
      <name val="Calibri"/>
      <family val="2"/>
      <scheme val="minor"/>
    </font>
    <font>
      <vertAlign val="superscript"/>
      <sz val="11"/>
      <color theme="1"/>
      <name val="Calibri"/>
      <family val="2"/>
      <scheme val="minor"/>
    </font>
    <font>
      <sz val="11"/>
      <name val="Calibri"/>
      <family val="2"/>
      <scheme val="minor"/>
    </font>
    <font>
      <sz val="11"/>
      <color theme="1"/>
      <name val="Calibri"/>
      <family val="2"/>
    </font>
    <font>
      <b/>
      <vertAlign val="superscript"/>
      <sz val="11"/>
      <color theme="1"/>
      <name val="Calibri"/>
      <family val="2"/>
      <scheme val="minor"/>
    </font>
    <font>
      <sz val="11"/>
      <color rgb="FFFF0000"/>
      <name val="Calibri"/>
      <family val="2"/>
      <scheme val="minor"/>
    </font>
    <font>
      <i/>
      <sz val="16"/>
      <color theme="1"/>
      <name val="Calibri"/>
      <family val="2"/>
      <scheme val="minor"/>
    </font>
    <font>
      <b/>
      <sz val="18"/>
      <color theme="1"/>
      <name val="Calibri"/>
      <family val="2"/>
      <scheme val="minor"/>
    </font>
    <font>
      <b/>
      <sz val="11"/>
      <name val="Calibri"/>
      <family val="2"/>
      <scheme val="minor"/>
    </font>
    <font>
      <b/>
      <sz val="11"/>
      <color theme="1"/>
      <name val="Calibri"/>
      <family val="2"/>
    </font>
    <font>
      <b/>
      <sz val="11"/>
      <color rgb="FF00B050"/>
      <name val="Calibri"/>
      <family val="2"/>
      <scheme val="minor"/>
    </font>
    <font>
      <sz val="11"/>
      <color theme="3"/>
      <name val="Calibri"/>
      <family val="2"/>
      <scheme val="minor"/>
    </font>
    <font>
      <i/>
      <sz val="11"/>
      <color theme="3"/>
      <name val="Calibri"/>
      <family val="2"/>
      <scheme val="minor"/>
    </font>
    <font>
      <b/>
      <sz val="11"/>
      <color theme="0"/>
      <name val="Calibri"/>
      <family val="2"/>
      <scheme val="minor"/>
    </font>
    <font>
      <strike/>
      <sz val="11"/>
      <color theme="1"/>
      <name val="Calibri"/>
      <family val="2"/>
      <scheme val="minor"/>
    </font>
    <font>
      <b/>
      <sz val="11"/>
      <color rgb="FFFF0000"/>
      <name val="Calibri"/>
      <family val="2"/>
      <scheme val="minor"/>
    </font>
    <font>
      <sz val="11"/>
      <color theme="1"/>
      <name val="Calibri"/>
      <family val="2"/>
      <scheme val="minor"/>
    </font>
    <font>
      <sz val="11"/>
      <color rgb="FF0D7117"/>
      <name val="Calibri"/>
      <family val="2"/>
      <scheme val="minor"/>
    </font>
    <font>
      <b/>
      <sz val="11"/>
      <color rgb="FF0D7117"/>
      <name val="Calibri"/>
      <family val="2"/>
      <scheme val="minor"/>
    </font>
    <font>
      <sz val="10.45"/>
      <color theme="1"/>
      <name val="Calibri"/>
      <family val="2"/>
    </font>
    <font>
      <b/>
      <sz val="24"/>
      <color theme="1"/>
      <name val="Calibri"/>
      <family val="2"/>
      <scheme val="minor"/>
    </font>
    <font>
      <b/>
      <sz val="10.25"/>
      <color theme="1"/>
      <name val="Calibri"/>
      <family val="2"/>
    </font>
    <font>
      <b/>
      <sz val="14"/>
      <color theme="1"/>
      <name val="Calibri"/>
      <family val="2"/>
      <scheme val="minor"/>
    </font>
    <font>
      <b/>
      <sz val="14"/>
      <name val="Calibri"/>
      <family val="2"/>
      <scheme val="minor"/>
    </font>
    <font>
      <b/>
      <sz val="14"/>
      <color theme="3"/>
      <name val="Calibri"/>
      <family val="2"/>
      <scheme val="minor"/>
    </font>
    <font>
      <i/>
      <sz val="11"/>
      <name val="Calibri"/>
      <family val="2"/>
      <scheme val="minor"/>
    </font>
    <font>
      <sz val="22"/>
      <color theme="1"/>
      <name val="Calibri"/>
      <family val="2"/>
      <scheme val="minor"/>
    </font>
    <font>
      <sz val="14"/>
      <name val="Calibri"/>
      <family val="2"/>
      <scheme val="minor"/>
    </font>
    <font>
      <b/>
      <vertAlign val="superscript"/>
      <sz val="11"/>
      <name val="Calibri"/>
      <family val="2"/>
      <scheme val="minor"/>
    </font>
    <font>
      <b/>
      <i/>
      <sz val="11"/>
      <name val="Calibri"/>
      <family val="2"/>
      <scheme val="minor"/>
    </font>
    <font>
      <b/>
      <i/>
      <sz val="11"/>
      <color rgb="FF0D7117"/>
      <name val="Calibri"/>
      <family val="2"/>
      <scheme val="minor"/>
    </font>
    <font>
      <b/>
      <i/>
      <sz val="14"/>
      <color rgb="FF0D7117"/>
      <name val="Calibri"/>
      <family val="2"/>
      <scheme val="minor"/>
    </font>
    <font>
      <i/>
      <sz val="12"/>
      <color theme="1"/>
      <name val="Calibri"/>
      <family val="2"/>
      <scheme val="minor"/>
    </font>
    <font>
      <b/>
      <i/>
      <sz val="11"/>
      <color theme="1"/>
      <name val="Calibri"/>
      <family val="2"/>
      <scheme val="minor"/>
    </font>
    <font>
      <sz val="11"/>
      <color rgb="FF353535"/>
      <name val="Calibri"/>
      <family val="2"/>
      <scheme val="minor"/>
    </font>
    <font>
      <sz val="9.9"/>
      <color theme="1"/>
      <name val="Calibri"/>
      <family val="2"/>
    </font>
    <font>
      <sz val="9"/>
      <color indexed="81"/>
      <name val="Calibri"/>
      <family val="2"/>
      <scheme val="minor"/>
    </font>
    <font>
      <sz val="9"/>
      <color indexed="81"/>
      <name val="Calibri"/>
      <family val="2"/>
    </font>
    <font>
      <sz val="11"/>
      <color theme="0"/>
      <name val="Calibri"/>
      <family val="2"/>
    </font>
    <font>
      <sz val="11"/>
      <name val="Calibri"/>
      <family val="2"/>
    </font>
    <font>
      <b/>
      <sz val="24"/>
      <color theme="1"/>
      <name val="Calibri"/>
      <family val="2"/>
    </font>
    <font>
      <b/>
      <sz val="14"/>
      <color rgb="FF222222"/>
      <name val="Calibri"/>
      <family val="2"/>
      <scheme val="minor"/>
    </font>
  </fonts>
  <fills count="18">
    <fill>
      <patternFill patternType="none"/>
    </fill>
    <fill>
      <patternFill patternType="gray125"/>
    </fill>
    <fill>
      <patternFill patternType="solid">
        <fgColor theme="6" tint="-0.249977111117893"/>
        <bgColor indexed="64"/>
      </patternFill>
    </fill>
    <fill>
      <patternFill patternType="solid">
        <fgColor theme="0"/>
        <bgColor indexed="64"/>
      </patternFill>
    </fill>
    <fill>
      <patternFill patternType="solid">
        <fgColor rgb="FF92D050"/>
        <bgColor indexed="64"/>
      </patternFill>
    </fill>
    <fill>
      <patternFill patternType="solid">
        <fgColor rgb="FFFFC819"/>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2" tint="-9.9978637043366805E-2"/>
        <bgColor indexed="64"/>
      </patternFill>
    </fill>
    <fill>
      <patternFill patternType="solid">
        <fgColor rgb="FFC00000"/>
        <bgColor indexed="64"/>
      </patternFill>
    </fill>
    <fill>
      <patternFill patternType="solid">
        <fgColor theme="3" tint="0.79998168889431442"/>
        <bgColor indexed="64"/>
      </patternFill>
    </fill>
    <fill>
      <patternFill patternType="solid">
        <fgColor theme="6"/>
        <bgColor indexed="64"/>
      </patternFill>
    </fill>
    <fill>
      <patternFill patternType="solid">
        <fgColor rgb="FF9EC14F"/>
        <bgColor indexed="64"/>
      </patternFill>
    </fill>
    <fill>
      <patternFill patternType="solid">
        <fgColor rgb="FFBF4845"/>
        <bgColor indexed="64"/>
      </patternFill>
    </fill>
    <fill>
      <patternFill patternType="solid">
        <fgColor rgb="FF477BB9"/>
        <bgColor indexed="64"/>
      </patternFill>
    </fill>
    <fill>
      <patternFill patternType="solid">
        <fgColor rgb="FF7030A0"/>
        <bgColor indexed="64"/>
      </patternFill>
    </fill>
    <fill>
      <patternFill patternType="solid">
        <fgColor theme="6" tint="0.79998168889431442"/>
        <bgColor indexed="64"/>
      </patternFill>
    </fill>
    <fill>
      <patternFill patternType="solid">
        <fgColor theme="2" tint="-0.49998474074526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style="thin">
        <color indexed="64"/>
      </left>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dashed">
        <color indexed="64"/>
      </bottom>
      <diagonal/>
    </border>
    <border>
      <left style="medium">
        <color indexed="64"/>
      </left>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43" fontId="21" fillId="0" borderId="0" applyFont="0" applyFill="0" applyBorder="0" applyAlignment="0" applyProtection="0"/>
  </cellStyleXfs>
  <cellXfs count="574">
    <xf numFmtId="0" fontId="0" fillId="0" borderId="0" xfId="0"/>
    <xf numFmtId="0" fontId="0" fillId="0" borderId="0" xfId="0" applyBorder="1"/>
    <xf numFmtId="0" fontId="0" fillId="0" borderId="0" xfId="0" applyFill="1" applyBorder="1"/>
    <xf numFmtId="0" fontId="0" fillId="0" borderId="0" xfId="0" applyFill="1"/>
    <xf numFmtId="0" fontId="0" fillId="0" borderId="5" xfId="0" applyBorder="1"/>
    <xf numFmtId="0" fontId="0" fillId="0" borderId="0" xfId="0" applyAlignment="1">
      <alignment horizontal="center"/>
    </xf>
    <xf numFmtId="0" fontId="0" fillId="0" borderId="0" xfId="0" applyFill="1" applyBorder="1" applyAlignment="1">
      <alignment horizontal="center"/>
    </xf>
    <xf numFmtId="0" fontId="3" fillId="0" borderId="0" xfId="0" applyFont="1" applyFill="1" applyBorder="1" applyAlignment="1">
      <alignment horizontal="left"/>
    </xf>
    <xf numFmtId="0" fontId="0" fillId="0" borderId="0" xfId="0" applyBorder="1" applyAlignment="1">
      <alignment horizontal="center"/>
    </xf>
    <xf numFmtId="164" fontId="0" fillId="0" borderId="0" xfId="0" applyNumberFormat="1" applyBorder="1" applyAlignment="1">
      <alignment horizontal="center"/>
    </xf>
    <xf numFmtId="0" fontId="0" fillId="0" borderId="0" xfId="0" applyAlignment="1">
      <alignment horizontal="left"/>
    </xf>
    <xf numFmtId="0" fontId="12" fillId="0" borderId="0" xfId="0" applyFont="1" applyAlignment="1"/>
    <xf numFmtId="167" fontId="0" fillId="0" borderId="0" xfId="0" applyNumberFormat="1" applyFill="1"/>
    <xf numFmtId="2" fontId="0" fillId="0" borderId="0" xfId="0" applyNumberFormat="1"/>
    <xf numFmtId="0" fontId="3" fillId="0" borderId="0" xfId="0" applyFont="1" applyFill="1" applyBorder="1" applyAlignment="1"/>
    <xf numFmtId="0" fontId="0" fillId="0" borderId="0" xfId="0" applyAlignment="1">
      <alignment horizontal="left" wrapText="1"/>
    </xf>
    <xf numFmtId="0" fontId="0" fillId="0" borderId="0" xfId="0" applyAlignment="1">
      <alignment horizontal="left"/>
    </xf>
    <xf numFmtId="0" fontId="19" fillId="0" borderId="0" xfId="0" applyFont="1" applyAlignment="1">
      <alignment horizontal="left"/>
    </xf>
    <xf numFmtId="0" fontId="0" fillId="3" borderId="0" xfId="0" applyFill="1" applyBorder="1" applyAlignment="1">
      <alignment vertical="center"/>
    </xf>
    <xf numFmtId="0" fontId="0" fillId="3" borderId="13" xfId="0" applyFill="1" applyBorder="1" applyAlignment="1">
      <alignment horizontal="center" vertical="center"/>
    </xf>
    <xf numFmtId="167" fontId="1" fillId="0" borderId="1" xfId="0" applyNumberFormat="1" applyFont="1" applyFill="1" applyBorder="1" applyAlignment="1">
      <alignment horizontal="center" vertical="center"/>
    </xf>
    <xf numFmtId="166" fontId="1" fillId="3" borderId="0" xfId="0" applyNumberFormat="1" applyFont="1" applyFill="1" applyBorder="1" applyAlignment="1">
      <alignment horizontal="center" vertical="center"/>
    </xf>
    <xf numFmtId="167" fontId="1" fillId="3" borderId="1" xfId="0" applyNumberFormat="1" applyFont="1" applyFill="1" applyBorder="1" applyAlignment="1">
      <alignment horizontal="center" vertical="center"/>
    </xf>
    <xf numFmtId="2" fontId="0" fillId="3" borderId="0" xfId="0" applyNumberFormat="1" applyFill="1" applyBorder="1" applyAlignment="1">
      <alignment horizontal="center" vertical="center"/>
    </xf>
    <xf numFmtId="0" fontId="0" fillId="3" borderId="0" xfId="0" applyFill="1" applyBorder="1" applyAlignment="1">
      <alignment horizontal="center" vertical="center"/>
    </xf>
    <xf numFmtId="2" fontId="18" fillId="14" borderId="1" xfId="0" applyNumberFormat="1" applyFont="1" applyFill="1" applyBorder="1" applyAlignment="1">
      <alignment horizontal="center" vertical="center"/>
    </xf>
    <xf numFmtId="2" fontId="18" fillId="13" borderId="1" xfId="0" applyNumberFormat="1" applyFont="1" applyFill="1" applyBorder="1" applyAlignment="1">
      <alignment horizontal="center" vertical="center"/>
    </xf>
    <xf numFmtId="2" fontId="18" fillId="12" borderId="1" xfId="0" applyNumberFormat="1" applyFont="1" applyFill="1" applyBorder="1" applyAlignment="1">
      <alignment horizontal="center" vertical="center"/>
    </xf>
    <xf numFmtId="164" fontId="1" fillId="3" borderId="0" xfId="0" applyNumberFormat="1" applyFont="1" applyFill="1" applyBorder="1" applyAlignment="1">
      <alignment horizontal="center" vertical="center"/>
    </xf>
    <xf numFmtId="164" fontId="1" fillId="3" borderId="0" xfId="0" applyNumberFormat="1" applyFont="1" applyFill="1" applyBorder="1" applyAlignment="1">
      <alignment vertical="center"/>
    </xf>
    <xf numFmtId="0" fontId="3" fillId="3" borderId="0" xfId="0" applyFont="1" applyFill="1" applyBorder="1" applyAlignment="1">
      <alignment horizontal="left" vertical="center"/>
    </xf>
    <xf numFmtId="0" fontId="0" fillId="3" borderId="0" xfId="0" applyFill="1" applyBorder="1" applyAlignment="1">
      <alignment horizontal="left" vertical="center"/>
    </xf>
    <xf numFmtId="0" fontId="0" fillId="3" borderId="7" xfId="0" applyFont="1" applyFill="1" applyBorder="1" applyAlignment="1">
      <alignment vertical="center"/>
    </xf>
    <xf numFmtId="2" fontId="1" fillId="3" borderId="0" xfId="0" applyNumberFormat="1" applyFont="1" applyFill="1" applyBorder="1" applyAlignment="1">
      <alignment horizontal="center" vertical="center"/>
    </xf>
    <xf numFmtId="0" fontId="4" fillId="3" borderId="0" xfId="0" applyFont="1" applyFill="1" applyBorder="1" applyAlignment="1">
      <alignment horizontal="left" vertical="center"/>
    </xf>
    <xf numFmtId="0" fontId="0" fillId="3" borderId="0" xfId="0" applyFont="1" applyFill="1" applyBorder="1" applyAlignment="1">
      <alignment horizontal="center" vertical="center"/>
    </xf>
    <xf numFmtId="0" fontId="3"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3" fillId="3" borderId="17" xfId="0" applyFont="1" applyFill="1" applyBorder="1" applyAlignment="1">
      <alignment horizontal="center" vertical="center"/>
    </xf>
    <xf numFmtId="0" fontId="0" fillId="3" borderId="0" xfId="0" applyFont="1" applyFill="1" applyBorder="1" applyAlignment="1">
      <alignment horizontal="left" vertical="center"/>
    </xf>
    <xf numFmtId="2" fontId="1" fillId="3" borderId="0" xfId="0" applyNumberFormat="1" applyFont="1" applyFill="1" applyBorder="1" applyAlignment="1">
      <alignment vertical="center"/>
    </xf>
    <xf numFmtId="0" fontId="0" fillId="3" borderId="13"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0" xfId="0" applyAlignment="1">
      <alignment vertical="center"/>
    </xf>
    <xf numFmtId="2" fontId="7" fillId="3" borderId="0" xfId="0" applyNumberFormat="1" applyFont="1" applyFill="1" applyBorder="1" applyAlignment="1">
      <alignment horizontal="center" vertical="center"/>
    </xf>
    <xf numFmtId="0" fontId="0" fillId="0" borderId="11" xfId="0" applyBorder="1" applyAlignment="1">
      <alignment horizontal="center" vertical="center"/>
    </xf>
    <xf numFmtId="2" fontId="0" fillId="7" borderId="1" xfId="0" applyNumberFormat="1" applyFill="1" applyBorder="1" applyAlignment="1" applyProtection="1">
      <alignment horizontal="center" vertical="center"/>
      <protection locked="0"/>
    </xf>
    <xf numFmtId="167" fontId="0" fillId="7" borderId="1" xfId="0" applyNumberForma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2" fontId="18" fillId="15" borderId="1" xfId="0" applyNumberFormat="1" applyFont="1" applyFill="1" applyBorder="1" applyAlignment="1">
      <alignment horizontal="center" vertical="center"/>
    </xf>
    <xf numFmtId="9" fontId="0" fillId="7" borderId="1" xfId="1"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0" fillId="0" borderId="0" xfId="0" applyFill="1" applyBorder="1" applyAlignment="1">
      <alignment horizontal="center" vertical="center"/>
    </xf>
    <xf numFmtId="0" fontId="0" fillId="3" borderId="34" xfId="0" applyFill="1" applyBorder="1" applyAlignment="1">
      <alignment horizontal="center" vertical="center"/>
    </xf>
    <xf numFmtId="0" fontId="0" fillId="0" borderId="0" xfId="0" applyBorder="1" applyAlignment="1">
      <alignment vertical="center"/>
    </xf>
    <xf numFmtId="0" fontId="7" fillId="10" borderId="1" xfId="0" applyFont="1" applyFill="1" applyBorder="1" applyAlignment="1">
      <alignment horizontal="center" vertical="center"/>
    </xf>
    <xf numFmtId="167" fontId="1" fillId="0" borderId="0" xfId="0" applyNumberFormat="1" applyFont="1" applyFill="1" applyBorder="1" applyAlignment="1">
      <alignment horizontal="center" vertical="center"/>
    </xf>
    <xf numFmtId="167" fontId="1" fillId="0" borderId="0" xfId="0" applyNumberFormat="1" applyFont="1" applyAlignment="1">
      <alignment horizontal="center" vertical="center"/>
    </xf>
    <xf numFmtId="0" fontId="0" fillId="0" borderId="4" xfId="0" applyBorder="1" applyAlignment="1">
      <alignment horizontal="left" vertical="center"/>
    </xf>
    <xf numFmtId="167" fontId="7" fillId="11" borderId="39" xfId="0" applyNumberFormat="1" applyFont="1" applyFill="1" applyBorder="1" applyAlignment="1">
      <alignment horizontal="center" vertical="center"/>
    </xf>
    <xf numFmtId="0" fontId="0" fillId="0" borderId="4" xfId="0" applyBorder="1" applyAlignment="1">
      <alignment vertical="center"/>
    </xf>
    <xf numFmtId="167" fontId="7" fillId="11" borderId="40" xfId="0" applyNumberFormat="1" applyFont="1" applyFill="1" applyBorder="1" applyAlignment="1">
      <alignment horizontal="center" vertical="center"/>
    </xf>
    <xf numFmtId="167" fontId="0" fillId="0" borderId="0" xfId="0" applyNumberFormat="1" applyAlignment="1">
      <alignment horizontal="center" vertical="center"/>
    </xf>
    <xf numFmtId="2" fontId="7" fillId="10" borderId="1" xfId="0" applyNumberFormat="1" applyFont="1" applyFill="1" applyBorder="1" applyAlignment="1">
      <alignment horizontal="center" vertical="center"/>
    </xf>
    <xf numFmtId="0" fontId="0" fillId="0" borderId="0" xfId="0" applyFill="1" applyBorder="1" applyAlignment="1">
      <alignment horizontal="left" vertical="center"/>
    </xf>
    <xf numFmtId="2" fontId="1" fillId="0" borderId="0" xfId="0" applyNumberFormat="1" applyFont="1" applyAlignment="1">
      <alignment horizontal="center" vertical="center"/>
    </xf>
    <xf numFmtId="0" fontId="8" fillId="0" borderId="0" xfId="0" applyFont="1" applyFill="1" applyBorder="1" applyAlignment="1">
      <alignment vertical="center"/>
    </xf>
    <xf numFmtId="0" fontId="0" fillId="0" borderId="0" xfId="0" applyFont="1" applyFill="1" applyBorder="1" applyAlignment="1">
      <alignment vertical="center"/>
    </xf>
    <xf numFmtId="167" fontId="7" fillId="11" borderId="38" xfId="0" applyNumberFormat="1" applyFont="1" applyFill="1" applyBorder="1" applyAlignment="1">
      <alignment horizontal="center" vertical="center"/>
    </xf>
    <xf numFmtId="167" fontId="7" fillId="11" borderId="0" xfId="0" applyNumberFormat="1" applyFont="1" applyFill="1" applyBorder="1" applyAlignment="1">
      <alignment horizontal="center" vertical="center"/>
    </xf>
    <xf numFmtId="0" fontId="0" fillId="0" borderId="5" xfId="0" applyFill="1" applyBorder="1" applyAlignment="1">
      <alignment vertical="center"/>
    </xf>
    <xf numFmtId="167" fontId="0" fillId="0" borderId="24" xfId="0" applyNumberFormat="1" applyBorder="1" applyAlignment="1">
      <alignment vertical="center"/>
    </xf>
    <xf numFmtId="0" fontId="0" fillId="0" borderId="0" xfId="0" applyBorder="1" applyAlignment="1">
      <alignment horizontal="left" vertical="center"/>
    </xf>
    <xf numFmtId="167" fontId="7" fillId="10" borderId="1" xfId="0" applyNumberFormat="1" applyFont="1" applyFill="1" applyBorder="1" applyAlignment="1">
      <alignment horizontal="center" vertical="center"/>
    </xf>
    <xf numFmtId="0" fontId="0" fillId="3" borderId="1" xfId="0" applyFill="1" applyBorder="1" applyAlignment="1">
      <alignment horizontal="center" vertical="center"/>
    </xf>
    <xf numFmtId="2" fontId="1" fillId="0" borderId="0" xfId="0" applyNumberFormat="1" applyFont="1" applyFill="1" applyBorder="1" applyAlignment="1">
      <alignment horizontal="center" vertical="center"/>
    </xf>
    <xf numFmtId="167" fontId="7" fillId="11" borderId="25" xfId="0" applyNumberFormat="1" applyFont="1" applyFill="1" applyBorder="1" applyAlignment="1">
      <alignment horizontal="center" vertical="center"/>
    </xf>
    <xf numFmtId="0" fontId="0" fillId="0" borderId="5" xfId="0" applyBorder="1" applyAlignment="1">
      <alignment vertical="center"/>
    </xf>
    <xf numFmtId="0" fontId="0" fillId="0" borderId="24" xfId="0" applyBorder="1" applyAlignment="1">
      <alignment vertical="center"/>
    </xf>
    <xf numFmtId="2" fontId="1" fillId="0" borderId="4" xfId="0"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wrapText="1"/>
    </xf>
    <xf numFmtId="166" fontId="0" fillId="0" borderId="0" xfId="0" applyNumberFormat="1" applyFill="1" applyBorder="1"/>
    <xf numFmtId="164" fontId="0" fillId="3" borderId="0" xfId="0" applyNumberFormat="1" applyFill="1" applyBorder="1" applyAlignment="1">
      <alignment horizontal="center" vertical="center"/>
    </xf>
    <xf numFmtId="0" fontId="0" fillId="3" borderId="0" xfId="0" applyFill="1" applyBorder="1" applyAlignment="1">
      <alignment horizontal="right" vertical="center"/>
    </xf>
    <xf numFmtId="2" fontId="0" fillId="7" borderId="30" xfId="0" applyNumberFormat="1" applyFill="1" applyBorder="1" applyAlignment="1" applyProtection="1">
      <alignment horizontal="center" vertical="center"/>
      <protection locked="0"/>
    </xf>
    <xf numFmtId="0" fontId="0" fillId="3" borderId="2" xfId="0" applyFont="1" applyFill="1" applyBorder="1" applyAlignment="1">
      <alignment horizontal="center" vertical="center"/>
    </xf>
    <xf numFmtId="2" fontId="0" fillId="0" borderId="0" xfId="0" applyNumberFormat="1" applyFill="1" applyBorder="1"/>
    <xf numFmtId="1" fontId="1" fillId="3" borderId="0" xfId="0" applyNumberFormat="1" applyFont="1" applyFill="1" applyBorder="1" applyAlignment="1">
      <alignment horizontal="center" vertical="center"/>
    </xf>
    <xf numFmtId="167" fontId="1" fillId="3" borderId="0" xfId="0" applyNumberFormat="1" applyFont="1" applyFill="1" applyBorder="1" applyAlignment="1">
      <alignment horizontal="center" vertical="center"/>
    </xf>
    <xf numFmtId="0" fontId="0" fillId="3" borderId="0" xfId="0" applyFont="1" applyFill="1" applyBorder="1" applyAlignment="1">
      <alignment horizontal="right" vertical="center"/>
    </xf>
    <xf numFmtId="164" fontId="0" fillId="3" borderId="0" xfId="0" applyNumberFormat="1" applyFill="1" applyBorder="1" applyAlignment="1">
      <alignment horizontal="right" vertical="center"/>
    </xf>
    <xf numFmtId="0" fontId="0" fillId="3" borderId="13" xfId="0" applyFill="1" applyBorder="1" applyAlignment="1">
      <alignment horizontal="left" vertical="center"/>
    </xf>
    <xf numFmtId="164" fontId="0" fillId="7" borderId="1" xfId="0" applyNumberFormat="1" applyFill="1" applyBorder="1" applyAlignment="1" applyProtection="1">
      <alignment horizontal="center" vertical="center"/>
      <protection locked="0"/>
    </xf>
    <xf numFmtId="0" fontId="0" fillId="3" borderId="0" xfId="0" applyFont="1" applyFill="1" applyBorder="1" applyAlignment="1">
      <alignment vertical="center"/>
    </xf>
    <xf numFmtId="164" fontId="7" fillId="3" borderId="0" xfId="0" applyNumberFormat="1" applyFont="1" applyFill="1" applyBorder="1" applyAlignment="1">
      <alignment vertical="center"/>
    </xf>
    <xf numFmtId="164" fontId="22" fillId="3" borderId="7" xfId="0" applyNumberFormat="1" applyFont="1" applyFill="1" applyBorder="1" applyAlignment="1">
      <alignment horizontal="center" vertical="center"/>
    </xf>
    <xf numFmtId="8" fontId="22" fillId="3" borderId="7" xfId="0" applyNumberFormat="1" applyFont="1" applyFill="1" applyBorder="1" applyAlignment="1">
      <alignment horizontal="center" vertical="center"/>
    </xf>
    <xf numFmtId="8" fontId="1" fillId="3" borderId="0" xfId="0" applyNumberFormat="1" applyFont="1" applyFill="1" applyBorder="1" applyAlignment="1">
      <alignment horizontal="center" vertical="center"/>
    </xf>
    <xf numFmtId="164" fontId="7" fillId="3" borderId="0" xfId="0" applyNumberFormat="1" applyFont="1" applyFill="1" applyBorder="1" applyAlignment="1">
      <alignment horizontal="left" vertical="center"/>
    </xf>
    <xf numFmtId="164" fontId="0" fillId="3" borderId="0" xfId="0" applyNumberFormat="1" applyFill="1" applyBorder="1" applyAlignment="1">
      <alignment horizontal="left" vertical="center"/>
    </xf>
    <xf numFmtId="164" fontId="13" fillId="3" borderId="0" xfId="0" applyNumberFormat="1" applyFont="1" applyFill="1" applyBorder="1" applyAlignment="1">
      <alignment horizontal="center" vertical="center"/>
    </xf>
    <xf numFmtId="0" fontId="7" fillId="3" borderId="0" xfId="0" applyFont="1" applyFill="1" applyBorder="1" applyAlignment="1">
      <alignment vertical="center"/>
    </xf>
    <xf numFmtId="164" fontId="7" fillId="7" borderId="1" xfId="0" applyNumberFormat="1" applyFont="1" applyFill="1" applyBorder="1" applyAlignment="1" applyProtection="1">
      <alignment horizontal="center" vertical="center"/>
      <protection locked="0"/>
    </xf>
    <xf numFmtId="0" fontId="0" fillId="0" borderId="31" xfId="0" applyFont="1" applyBorder="1" applyAlignment="1">
      <alignment horizontal="left"/>
    </xf>
    <xf numFmtId="0" fontId="5" fillId="3" borderId="0" xfId="0" applyFont="1" applyFill="1" applyBorder="1" applyAlignment="1">
      <alignment horizontal="center" vertical="center"/>
    </xf>
    <xf numFmtId="0" fontId="5" fillId="3" borderId="0" xfId="0" applyFont="1" applyFill="1" applyBorder="1" applyAlignment="1">
      <alignment vertical="center"/>
    </xf>
    <xf numFmtId="0" fontId="16" fillId="3" borderId="0" xfId="0" applyFont="1" applyFill="1" applyBorder="1" applyAlignment="1">
      <alignment vertical="center"/>
    </xf>
    <xf numFmtId="0" fontId="0" fillId="16" borderId="0" xfId="0" applyFill="1" applyBorder="1" applyAlignment="1">
      <alignment horizontal="center" vertical="center"/>
    </xf>
    <xf numFmtId="2" fontId="1" fillId="16" borderId="0" xfId="0" applyNumberFormat="1" applyFont="1" applyFill="1" applyBorder="1" applyAlignment="1">
      <alignment horizontal="center" vertical="center"/>
    </xf>
    <xf numFmtId="164" fontId="1" fillId="16" borderId="0" xfId="0" applyNumberFormat="1" applyFont="1" applyFill="1" applyBorder="1" applyAlignment="1">
      <alignment horizontal="center" vertical="center"/>
    </xf>
    <xf numFmtId="0" fontId="0" fillId="16" borderId="0" xfId="0" applyFont="1" applyFill="1" applyBorder="1" applyAlignment="1">
      <alignment horizontal="center" vertical="center"/>
    </xf>
    <xf numFmtId="0" fontId="17" fillId="3" borderId="0" xfId="0" applyFont="1" applyFill="1" applyBorder="1" applyAlignment="1">
      <alignment horizontal="left" vertical="center"/>
    </xf>
    <xf numFmtId="0" fontId="30" fillId="3" borderId="0" xfId="0" applyFont="1" applyFill="1" applyBorder="1" applyAlignment="1">
      <alignment horizontal="left" vertical="center"/>
    </xf>
    <xf numFmtId="0" fontId="5" fillId="16" borderId="0" xfId="0" applyFont="1" applyFill="1" applyBorder="1" applyAlignment="1">
      <alignment horizontal="center" vertical="center"/>
    </xf>
    <xf numFmtId="166" fontId="1" fillId="16" borderId="0" xfId="0" applyNumberFormat="1" applyFont="1" applyFill="1" applyBorder="1" applyAlignment="1">
      <alignment horizontal="center" vertical="center"/>
    </xf>
    <xf numFmtId="164" fontId="5" fillId="16" borderId="0" xfId="0" applyNumberFormat="1" applyFont="1" applyFill="1" applyBorder="1" applyAlignment="1">
      <alignment horizontal="left" vertical="center"/>
    </xf>
    <xf numFmtId="0" fontId="0" fillId="16" borderId="0" xfId="0" applyFill="1" applyBorder="1" applyAlignment="1">
      <alignment vertical="center"/>
    </xf>
    <xf numFmtId="8" fontId="23" fillId="16" borderId="0" xfId="0" applyNumberFormat="1" applyFont="1" applyFill="1" applyBorder="1" applyAlignment="1">
      <alignment horizontal="center" vertical="center"/>
    </xf>
    <xf numFmtId="164" fontId="13" fillId="16" borderId="0" xfId="0" applyNumberFormat="1" applyFont="1" applyFill="1" applyBorder="1" applyAlignment="1">
      <alignment horizontal="left" vertical="center"/>
    </xf>
    <xf numFmtId="164" fontId="7" fillId="16" borderId="0" xfId="0" applyNumberFormat="1" applyFont="1" applyFill="1" applyBorder="1" applyAlignment="1">
      <alignment vertical="center"/>
    </xf>
    <xf numFmtId="8" fontId="1" fillId="16" borderId="0" xfId="0" applyNumberFormat="1" applyFont="1" applyFill="1" applyBorder="1" applyAlignment="1">
      <alignment horizontal="center" vertical="center"/>
    </xf>
    <xf numFmtId="0" fontId="5" fillId="3" borderId="7" xfId="0" applyFont="1" applyFill="1" applyBorder="1" applyAlignment="1">
      <alignment horizontal="center" vertical="center"/>
    </xf>
    <xf numFmtId="164" fontId="13" fillId="16" borderId="0" xfId="0" applyNumberFormat="1" applyFont="1" applyFill="1" applyBorder="1" applyAlignment="1">
      <alignment horizontal="center" vertical="center"/>
    </xf>
    <xf numFmtId="0" fontId="28" fillId="16" borderId="0" xfId="0" applyFont="1" applyFill="1" applyBorder="1" applyAlignment="1">
      <alignment horizontal="center" vertical="center"/>
    </xf>
    <xf numFmtId="0" fontId="27" fillId="16" borderId="0" xfId="0" applyFont="1" applyFill="1" applyBorder="1" applyAlignment="1">
      <alignment horizontal="center" vertical="center"/>
    </xf>
    <xf numFmtId="164" fontId="20" fillId="16" borderId="0" xfId="0" applyNumberFormat="1" applyFont="1" applyFill="1" applyBorder="1" applyAlignment="1">
      <alignment horizontal="center" vertical="center"/>
    </xf>
    <xf numFmtId="0" fontId="5" fillId="16" borderId="0" xfId="0" applyFont="1" applyFill="1" applyBorder="1" applyAlignment="1">
      <alignment horizontal="right" vertical="center"/>
    </xf>
    <xf numFmtId="0" fontId="1" fillId="3" borderId="7" xfId="0" applyFont="1" applyFill="1" applyBorder="1" applyAlignment="1">
      <alignment horizontal="center" vertical="center"/>
    </xf>
    <xf numFmtId="164" fontId="28" fillId="16" borderId="0" xfId="0" applyNumberFormat="1" applyFont="1" applyFill="1" applyBorder="1" applyAlignment="1">
      <alignment horizontal="center" vertical="center"/>
    </xf>
    <xf numFmtId="8" fontId="28" fillId="16"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xf numFmtId="167" fontId="7" fillId="0" borderId="0" xfId="0" applyNumberFormat="1" applyFont="1" applyFill="1"/>
    <xf numFmtId="0" fontId="18" fillId="3" borderId="0" xfId="0" applyFont="1" applyFill="1" applyBorder="1" applyAlignment="1">
      <alignment horizontal="center" vertical="center"/>
    </xf>
    <xf numFmtId="2" fontId="2" fillId="3" borderId="0" xfId="0" applyNumberFormat="1" applyFont="1" applyFill="1" applyBorder="1" applyAlignment="1">
      <alignment horizontal="center" vertical="center"/>
    </xf>
    <xf numFmtId="0" fontId="2" fillId="3" borderId="0" xfId="0" applyFont="1" applyFill="1" applyBorder="1" applyAlignment="1">
      <alignment vertical="center"/>
    </xf>
    <xf numFmtId="0" fontId="0" fillId="0" borderId="0" xfId="0" applyProtection="1"/>
    <xf numFmtId="0" fontId="0" fillId="0" borderId="0" xfId="0" applyBorder="1" applyProtection="1"/>
    <xf numFmtId="0" fontId="7" fillId="3" borderId="0" xfId="0" applyFont="1" applyFill="1" applyBorder="1" applyAlignment="1" applyProtection="1">
      <alignment horizontal="center" vertical="center"/>
    </xf>
    <xf numFmtId="2" fontId="1" fillId="3" borderId="0" xfId="0" applyNumberFormat="1" applyFont="1" applyFill="1" applyBorder="1" applyAlignment="1" applyProtection="1">
      <alignment horizontal="center" vertical="center"/>
    </xf>
    <xf numFmtId="0" fontId="31" fillId="0" borderId="0" xfId="0" applyFont="1" applyFill="1" applyBorder="1" applyAlignment="1">
      <alignment horizontal="center" vertical="center"/>
    </xf>
    <xf numFmtId="0" fontId="16" fillId="16" borderId="0" xfId="0" applyFont="1" applyFill="1" applyBorder="1" applyAlignment="1" applyProtection="1">
      <alignment horizontal="center" vertical="center"/>
    </xf>
    <xf numFmtId="0" fontId="7" fillId="16" borderId="0" xfId="0" applyFont="1" applyFill="1" applyBorder="1" applyAlignment="1" applyProtection="1">
      <alignment horizontal="center" vertical="center"/>
    </xf>
    <xf numFmtId="0" fontId="13" fillId="16" borderId="0" xfId="0" applyFont="1" applyFill="1" applyBorder="1" applyAlignment="1" applyProtection="1">
      <alignment horizontal="center" vertical="center"/>
    </xf>
    <xf numFmtId="164" fontId="1" fillId="16" borderId="0" xfId="0" applyNumberFormat="1" applyFont="1" applyFill="1" applyBorder="1" applyAlignment="1" applyProtection="1">
      <alignment horizontal="center" vertical="center"/>
    </xf>
    <xf numFmtId="0" fontId="13" fillId="16" borderId="0" xfId="0" applyFont="1" applyFill="1" applyBorder="1" applyAlignment="1" applyProtection="1">
      <alignment vertical="center"/>
    </xf>
    <xf numFmtId="0" fontId="0" fillId="0" borderId="26" xfId="0" applyBorder="1"/>
    <xf numFmtId="0" fontId="0" fillId="0" borderId="31" xfId="0" applyFont="1" applyFill="1" applyBorder="1" applyAlignment="1">
      <alignment horizontal="left"/>
    </xf>
    <xf numFmtId="0" fontId="0" fillId="0" borderId="15" xfId="0" applyFill="1" applyBorder="1" applyAlignment="1">
      <alignment horizontal="center" vertical="center"/>
    </xf>
    <xf numFmtId="0" fontId="0" fillId="0" borderId="20" xfId="0" applyFill="1" applyBorder="1" applyAlignment="1">
      <alignment horizontal="center" vertical="center"/>
    </xf>
    <xf numFmtId="0" fontId="16" fillId="0" borderId="26" xfId="0" applyFont="1" applyFill="1" applyBorder="1" applyAlignment="1">
      <alignment horizontal="center" vertical="center"/>
    </xf>
    <xf numFmtId="2" fontId="0" fillId="0" borderId="20" xfId="0" applyNumberFormat="1" applyFill="1" applyBorder="1" applyAlignment="1">
      <alignment horizontal="center" vertical="center"/>
    </xf>
    <xf numFmtId="0" fontId="0" fillId="0" borderId="4" xfId="0" applyFill="1" applyBorder="1" applyAlignment="1">
      <alignment horizontal="center" vertical="center"/>
    </xf>
    <xf numFmtId="0" fontId="5" fillId="0" borderId="4" xfId="0" applyFont="1" applyFill="1" applyBorder="1" applyAlignment="1">
      <alignment vertical="center"/>
    </xf>
    <xf numFmtId="0" fontId="0" fillId="0" borderId="3" xfId="0" applyFill="1" applyBorder="1" applyAlignment="1">
      <alignment horizontal="center" vertical="center"/>
    </xf>
    <xf numFmtId="2" fontId="7" fillId="0" borderId="20" xfId="0" applyNumberFormat="1" applyFont="1" applyFill="1" applyBorder="1" applyAlignment="1">
      <alignment horizontal="center" vertical="center"/>
    </xf>
    <xf numFmtId="0" fontId="0" fillId="0" borderId="37" xfId="0" applyBorder="1" applyAlignment="1">
      <alignment vertical="center"/>
    </xf>
    <xf numFmtId="2" fontId="7" fillId="0" borderId="15" xfId="0" applyNumberFormat="1" applyFont="1" applyFill="1" applyBorder="1" applyAlignment="1">
      <alignment horizontal="center" vertical="center"/>
    </xf>
    <xf numFmtId="0" fontId="0" fillId="0" borderId="37" xfId="0" applyFont="1" applyBorder="1" applyAlignment="1">
      <alignment horizontal="left"/>
    </xf>
    <xf numFmtId="0" fontId="0" fillId="0" borderId="26" xfId="0" applyFill="1" applyBorder="1" applyAlignment="1">
      <alignment horizontal="center" vertical="center"/>
    </xf>
    <xf numFmtId="0" fontId="0" fillId="0" borderId="20" xfId="0" applyBorder="1" applyAlignment="1">
      <alignment horizontal="center"/>
    </xf>
    <xf numFmtId="2" fontId="0" fillId="0" borderId="20" xfId="1" applyNumberFormat="1" applyFont="1" applyFill="1" applyBorder="1" applyAlignment="1">
      <alignment horizontal="center" vertical="center"/>
    </xf>
    <xf numFmtId="164" fontId="0" fillId="16" borderId="0" xfId="0" applyNumberFormat="1" applyFill="1" applyBorder="1" applyAlignment="1">
      <alignment vertical="center"/>
    </xf>
    <xf numFmtId="164" fontId="3" fillId="16" borderId="0" xfId="0" applyNumberFormat="1" applyFont="1" applyFill="1" applyBorder="1" applyAlignment="1">
      <alignment horizontal="left" vertical="center"/>
    </xf>
    <xf numFmtId="165" fontId="0" fillId="3" borderId="0" xfId="0" applyNumberFormat="1" applyFill="1" applyBorder="1" applyAlignment="1" applyProtection="1">
      <alignment horizontal="center" vertical="center"/>
    </xf>
    <xf numFmtId="0" fontId="7" fillId="16" borderId="0" xfId="0" applyFont="1" applyFill="1" applyBorder="1" applyAlignment="1">
      <alignment horizontal="center" vertical="center"/>
    </xf>
    <xf numFmtId="0" fontId="1" fillId="16" borderId="0" xfId="0" applyFont="1" applyFill="1" applyBorder="1" applyAlignment="1">
      <alignment horizontal="center" vertical="center"/>
    </xf>
    <xf numFmtId="164" fontId="34" fillId="3" borderId="0" xfId="0" applyNumberFormat="1" applyFont="1" applyFill="1" applyBorder="1" applyAlignment="1">
      <alignment horizontal="left" vertical="center"/>
    </xf>
    <xf numFmtId="0" fontId="35" fillId="3" borderId="0" xfId="0" applyFont="1" applyFill="1" applyBorder="1" applyAlignment="1">
      <alignment vertical="center"/>
    </xf>
    <xf numFmtId="8" fontId="35" fillId="3" borderId="0" xfId="0" applyNumberFormat="1" applyFont="1" applyFill="1" applyBorder="1" applyAlignment="1">
      <alignment horizontal="center" vertical="center"/>
    </xf>
    <xf numFmtId="8" fontId="36" fillId="3" borderId="0" xfId="0" applyNumberFormat="1" applyFont="1" applyFill="1" applyBorder="1" applyAlignment="1">
      <alignment horizontal="center" vertical="center"/>
    </xf>
    <xf numFmtId="0" fontId="36" fillId="3" borderId="0" xfId="0" applyFont="1" applyFill="1" applyBorder="1" applyAlignment="1">
      <alignment horizontal="center" vertical="center"/>
    </xf>
    <xf numFmtId="0" fontId="5" fillId="0" borderId="3" xfId="0" applyFont="1" applyFill="1" applyBorder="1" applyAlignment="1">
      <alignment horizontal="left" vertical="center"/>
    </xf>
    <xf numFmtId="2" fontId="18" fillId="3" borderId="0" xfId="0" applyNumberFormat="1" applyFont="1" applyFill="1" applyBorder="1" applyAlignment="1">
      <alignment horizontal="center" vertical="center"/>
    </xf>
    <xf numFmtId="168" fontId="0" fillId="0" borderId="0" xfId="0" applyNumberFormat="1" applyFill="1" applyBorder="1"/>
    <xf numFmtId="2" fontId="13" fillId="3" borderId="0" xfId="0" applyNumberFormat="1" applyFont="1" applyFill="1" applyBorder="1" applyAlignment="1">
      <alignment horizontal="center" vertical="center"/>
    </xf>
    <xf numFmtId="0" fontId="18" fillId="0" borderId="0" xfId="0" applyFont="1" applyFill="1" applyAlignment="1">
      <alignment vertical="center"/>
    </xf>
    <xf numFmtId="0" fontId="18" fillId="0" borderId="0" xfId="0" applyFont="1" applyFill="1" applyBorder="1" applyAlignment="1">
      <alignment horizontal="left" vertical="center"/>
    </xf>
    <xf numFmtId="0" fontId="18" fillId="0" borderId="0" xfId="0" applyFont="1" applyFill="1" applyBorder="1" applyAlignment="1">
      <alignment vertical="center"/>
    </xf>
    <xf numFmtId="0" fontId="0" fillId="0" borderId="13" xfId="0" applyBorder="1" applyAlignment="1">
      <alignment horizontal="center" vertical="center"/>
    </xf>
    <xf numFmtId="164" fontId="0" fillId="0" borderId="0" xfId="0" applyNumberFormat="1" applyBorder="1" applyAlignment="1">
      <alignment horizontal="center" vertical="center"/>
    </xf>
    <xf numFmtId="0" fontId="37" fillId="3" borderId="0" xfId="0" applyFont="1" applyFill="1" applyBorder="1" applyAlignment="1">
      <alignment horizontal="left" vertical="center"/>
    </xf>
    <xf numFmtId="0" fontId="37" fillId="3" borderId="2" xfId="0" applyFont="1" applyFill="1" applyBorder="1" applyAlignment="1">
      <alignment horizontal="left" vertical="center"/>
    </xf>
    <xf numFmtId="0" fontId="4" fillId="0" borderId="0" xfId="0" applyFont="1" applyBorder="1" applyAlignment="1">
      <alignment horizontal="left"/>
    </xf>
    <xf numFmtId="0" fontId="18" fillId="0" borderId="0" xfId="0" applyFont="1" applyFill="1" applyAlignment="1">
      <alignment horizontal="left" vertical="center"/>
    </xf>
    <xf numFmtId="0" fontId="39" fillId="0" borderId="4" xfId="0" applyFont="1" applyBorder="1" applyAlignment="1">
      <alignment vertical="center" wrapText="1"/>
    </xf>
    <xf numFmtId="0" fontId="5" fillId="0" borderId="22" xfId="0" applyFont="1" applyBorder="1" applyAlignment="1">
      <alignment horizontal="center" vertical="center"/>
    </xf>
    <xf numFmtId="0" fontId="5" fillId="0" borderId="6" xfId="0" applyFont="1" applyBorder="1" applyAlignment="1">
      <alignment horizontal="center" vertical="center"/>
    </xf>
    <xf numFmtId="164" fontId="0" fillId="0" borderId="0" xfId="0" applyNumberFormat="1" applyFont="1" applyAlignment="1">
      <alignment horizontal="center"/>
    </xf>
    <xf numFmtId="0" fontId="0" fillId="0" borderId="0" xfId="0" applyFont="1" applyBorder="1" applyAlignment="1">
      <alignment horizontal="center" vertical="center"/>
    </xf>
    <xf numFmtId="1" fontId="0" fillId="0" borderId="0" xfId="0" applyNumberFormat="1" applyProtection="1">
      <protection locked="0"/>
    </xf>
    <xf numFmtId="0" fontId="0" fillId="0" borderId="0" xfId="0" applyFill="1" applyAlignment="1">
      <alignment vertical="center"/>
    </xf>
    <xf numFmtId="2" fontId="0" fillId="0" borderId="0" xfId="0" applyNumberFormat="1" applyFill="1" applyBorder="1" applyAlignment="1">
      <alignment vertical="center"/>
    </xf>
    <xf numFmtId="2" fontId="1" fillId="0" borderId="0" xfId="0" applyNumberFormat="1" applyFont="1" applyBorder="1" applyAlignment="1">
      <alignment horizontal="center" vertical="center"/>
    </xf>
    <xf numFmtId="0" fontId="7" fillId="0" borderId="0" xfId="0" applyFont="1" applyFill="1" applyBorder="1" applyAlignment="1">
      <alignment vertical="center"/>
    </xf>
    <xf numFmtId="0" fontId="0" fillId="0" borderId="18" xfId="0" applyFill="1" applyBorder="1" applyAlignment="1">
      <alignment horizontal="center" vertical="center"/>
    </xf>
    <xf numFmtId="0" fontId="0" fillId="0" borderId="27" xfId="0" applyFont="1" applyBorder="1" applyAlignment="1">
      <alignment horizontal="left"/>
    </xf>
    <xf numFmtId="0" fontId="0" fillId="0" borderId="36" xfId="0" applyFill="1" applyBorder="1" applyAlignment="1">
      <alignment horizontal="center" vertical="center"/>
    </xf>
    <xf numFmtId="0" fontId="0" fillId="0" borderId="35" xfId="0" applyFill="1" applyBorder="1"/>
    <xf numFmtId="0" fontId="17" fillId="0" borderId="26" xfId="0" applyFont="1" applyFill="1" applyBorder="1" applyAlignment="1">
      <alignment horizontal="center" vertical="center"/>
    </xf>
    <xf numFmtId="0" fontId="7" fillId="0" borderId="0" xfId="0" applyFont="1"/>
    <xf numFmtId="0" fontId="7" fillId="0" borderId="0" xfId="0" applyFont="1" applyFill="1" applyAlignment="1"/>
    <xf numFmtId="0" fontId="16" fillId="0" borderId="15" xfId="0" applyFont="1" applyBorder="1" applyAlignment="1">
      <alignment horizontal="center" vertical="center"/>
    </xf>
    <xf numFmtId="0" fontId="0" fillId="0" borderId="0" xfId="0" applyFont="1" applyFill="1" applyBorder="1" applyAlignment="1">
      <alignment horizontal="center" vertical="center"/>
    </xf>
    <xf numFmtId="0" fontId="10" fillId="0" borderId="0" xfId="0" applyFont="1"/>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164" fontId="0" fillId="8" borderId="16" xfId="0" applyNumberFormat="1" applyFill="1" applyBorder="1" applyAlignment="1">
      <alignment horizontal="center" vertical="center"/>
    </xf>
    <xf numFmtId="0" fontId="12" fillId="0" borderId="0" xfId="0" applyFont="1" applyAlignment="1">
      <alignment vertical="center"/>
    </xf>
    <xf numFmtId="0" fontId="5" fillId="0" borderId="3" xfId="0" applyFont="1" applyBorder="1" applyAlignment="1">
      <alignment vertical="center"/>
    </xf>
    <xf numFmtId="9" fontId="5" fillId="0" borderId="2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13" fillId="0" borderId="22" xfId="0" applyNumberFormat="1" applyFont="1" applyBorder="1" applyAlignment="1">
      <alignment horizontal="center" vertical="center"/>
    </xf>
    <xf numFmtId="9" fontId="13" fillId="0" borderId="22" xfId="0" applyNumberFormat="1" applyFont="1" applyFill="1" applyBorder="1" applyAlignment="1">
      <alignment horizontal="center" vertical="center"/>
    </xf>
    <xf numFmtId="0" fontId="17" fillId="0" borderId="33" xfId="0" applyFont="1" applyFill="1" applyBorder="1" applyAlignment="1">
      <alignment horizontal="center" vertical="center"/>
    </xf>
    <xf numFmtId="0" fontId="0" fillId="0" borderId="23" xfId="0" applyFont="1" applyBorder="1" applyAlignment="1">
      <alignment horizontal="left" vertical="center"/>
    </xf>
    <xf numFmtId="0" fontId="0" fillId="0" borderId="16" xfId="0" applyBorder="1" applyAlignment="1">
      <alignment horizontal="center" vertical="center"/>
    </xf>
    <xf numFmtId="1" fontId="0" fillId="0" borderId="4" xfId="0" applyNumberFormat="1" applyFont="1" applyBorder="1" applyAlignment="1">
      <alignment horizontal="center" vertical="center"/>
    </xf>
    <xf numFmtId="0" fontId="0" fillId="0" borderId="17" xfId="0" applyBorder="1" applyAlignment="1">
      <alignment vertical="center"/>
    </xf>
    <xf numFmtId="0" fontId="0" fillId="0" borderId="16" xfId="0" applyFont="1" applyBorder="1" applyAlignment="1">
      <alignment horizontal="left" vertical="center"/>
    </xf>
    <xf numFmtId="0" fontId="7" fillId="0" borderId="16" xfId="0" applyFont="1" applyBorder="1" applyAlignment="1">
      <alignment horizontal="center" vertical="center"/>
    </xf>
    <xf numFmtId="0" fontId="7" fillId="0" borderId="16" xfId="0" applyNumberFormat="1" applyFont="1" applyFill="1" applyBorder="1" applyAlignment="1" applyProtection="1">
      <alignment horizontal="center" vertical="center"/>
      <protection hidden="1"/>
    </xf>
    <xf numFmtId="0" fontId="7" fillId="0" borderId="16" xfId="0" applyFont="1" applyFill="1" applyBorder="1" applyAlignment="1">
      <alignment horizontal="center" vertical="center"/>
    </xf>
    <xf numFmtId="0" fontId="0" fillId="0" borderId="16" xfId="0" applyFont="1" applyFill="1" applyBorder="1" applyAlignment="1">
      <alignment horizontal="left" vertical="center"/>
    </xf>
    <xf numFmtId="1" fontId="0" fillId="0" borderId="4" xfId="0" applyNumberFormat="1" applyFill="1" applyBorder="1" applyAlignment="1">
      <alignment horizontal="center" vertical="center"/>
    </xf>
    <xf numFmtId="1" fontId="0" fillId="0" borderId="0" xfId="0" applyNumberFormat="1" applyAlignment="1">
      <alignment horizontal="center" vertical="center"/>
    </xf>
    <xf numFmtId="0" fontId="0" fillId="0" borderId="0" xfId="0" applyFont="1" applyBorder="1" applyAlignment="1">
      <alignment horizontal="left" vertical="center"/>
    </xf>
    <xf numFmtId="1" fontId="0" fillId="0" borderId="0" xfId="0" applyNumberFormat="1" applyFill="1" applyBorder="1" applyAlignment="1">
      <alignment horizontal="left" vertical="center"/>
    </xf>
    <xf numFmtId="0" fontId="0" fillId="0" borderId="23" xfId="0" applyBorder="1" applyAlignment="1">
      <alignment horizontal="center" vertical="center"/>
    </xf>
    <xf numFmtId="0" fontId="5" fillId="8" borderId="3" xfId="0" applyFont="1" applyFill="1" applyBorder="1" applyAlignment="1">
      <alignment vertical="center"/>
    </xf>
    <xf numFmtId="0" fontId="0" fillId="8" borderId="4" xfId="0" applyFont="1" applyFill="1" applyBorder="1" applyAlignment="1">
      <alignment vertical="center"/>
    </xf>
    <xf numFmtId="164" fontId="7" fillId="8" borderId="16" xfId="0" applyNumberFormat="1" applyFont="1" applyFill="1" applyBorder="1" applyAlignment="1">
      <alignment horizontal="center" vertical="center"/>
    </xf>
    <xf numFmtId="164" fontId="0" fillId="8" borderId="23" xfId="0" applyNumberFormat="1" applyFill="1" applyBorder="1" applyAlignment="1">
      <alignment horizontal="center" vertical="center"/>
    </xf>
    <xf numFmtId="164" fontId="7" fillId="8" borderId="5" xfId="0" applyNumberFormat="1" applyFont="1" applyFill="1" applyBorder="1" applyAlignment="1">
      <alignment horizontal="center" vertical="center"/>
    </xf>
    <xf numFmtId="164" fontId="0" fillId="8" borderId="0" xfId="0" applyNumberFormat="1" applyFill="1" applyAlignment="1">
      <alignment horizontal="center" vertical="center"/>
    </xf>
    <xf numFmtId="0" fontId="0" fillId="8" borderId="4" xfId="0" applyFill="1" applyBorder="1" applyAlignment="1">
      <alignment vertical="center"/>
    </xf>
    <xf numFmtId="164" fontId="7" fillId="8" borderId="23" xfId="0" applyNumberFormat="1" applyFont="1" applyFill="1" applyBorder="1" applyAlignment="1">
      <alignment horizontal="center" vertical="center"/>
    </xf>
    <xf numFmtId="0" fontId="0" fillId="0" borderId="0" xfId="0" applyFill="1" applyAlignment="1">
      <alignment horizontal="center" vertical="center"/>
    </xf>
    <xf numFmtId="0" fontId="0" fillId="8" borderId="14" xfId="0" applyFill="1" applyBorder="1" applyAlignment="1">
      <alignment vertical="center"/>
    </xf>
    <xf numFmtId="0" fontId="0" fillId="8" borderId="0" xfId="0" applyFill="1" applyAlignment="1">
      <alignment vertical="center"/>
    </xf>
    <xf numFmtId="164" fontId="0" fillId="8" borderId="25" xfId="0" applyNumberFormat="1" applyFill="1" applyBorder="1" applyAlignment="1">
      <alignment horizontal="center" vertical="center"/>
    </xf>
    <xf numFmtId="164" fontId="0" fillId="8" borderId="16" xfId="0" applyNumberFormat="1" applyFont="1" applyFill="1" applyBorder="1" applyAlignment="1">
      <alignment horizontal="center" vertical="center"/>
    </xf>
    <xf numFmtId="0" fontId="14" fillId="8" borderId="6" xfId="0" applyFont="1" applyFill="1" applyBorder="1" applyAlignment="1">
      <alignment horizontal="center" vertical="center"/>
    </xf>
    <xf numFmtId="2" fontId="0" fillId="8" borderId="16" xfId="0" applyNumberFormat="1" applyFill="1" applyBorder="1" applyAlignment="1">
      <alignment horizontal="left" vertical="center"/>
    </xf>
    <xf numFmtId="0" fontId="7" fillId="0" borderId="0" xfId="0" applyFont="1" applyAlignment="1">
      <alignment vertical="center"/>
    </xf>
    <xf numFmtId="0" fontId="14" fillId="8" borderId="22" xfId="0" applyFont="1" applyFill="1" applyBorder="1" applyAlignment="1">
      <alignment horizontal="center" vertical="center"/>
    </xf>
    <xf numFmtId="0" fontId="5" fillId="8" borderId="7" xfId="0" applyFont="1" applyFill="1" applyBorder="1" applyAlignment="1">
      <alignment horizontal="center" vertical="center"/>
    </xf>
    <xf numFmtId="0" fontId="5" fillId="0" borderId="7" xfId="0" applyFont="1" applyBorder="1" applyAlignment="1">
      <alignment horizontal="center" vertical="center"/>
    </xf>
    <xf numFmtId="0" fontId="0" fillId="0" borderId="24" xfId="0" applyFont="1" applyBorder="1" applyAlignment="1">
      <alignment vertical="center"/>
    </xf>
    <xf numFmtId="0" fontId="0" fillId="0" borderId="25" xfId="0" applyBorder="1" applyAlignment="1">
      <alignment horizontal="center" vertical="center"/>
    </xf>
    <xf numFmtId="0" fontId="0" fillId="0" borderId="7" xfId="0" applyBorder="1" applyAlignment="1">
      <alignment vertical="center"/>
    </xf>
    <xf numFmtId="0" fontId="5" fillId="0" borderId="7" xfId="0" applyFont="1" applyFill="1" applyBorder="1" applyAlignment="1">
      <alignment horizontal="center" vertical="center"/>
    </xf>
    <xf numFmtId="9" fontId="0" fillId="8" borderId="4" xfId="0" applyNumberFormat="1" applyFill="1" applyBorder="1" applyAlignment="1">
      <alignment vertical="center"/>
    </xf>
    <xf numFmtId="0" fontId="10" fillId="0" borderId="0" xfId="0" applyFont="1" applyFill="1" applyBorder="1" applyAlignment="1">
      <alignment vertical="center"/>
    </xf>
    <xf numFmtId="9" fontId="0" fillId="8" borderId="4" xfId="0" applyNumberFormat="1" applyFill="1" applyBorder="1" applyAlignment="1">
      <alignment horizontal="left" vertical="center"/>
    </xf>
    <xf numFmtId="0" fontId="30" fillId="0" borderId="0" xfId="0" applyFont="1" applyFill="1" applyBorder="1" applyAlignment="1">
      <alignment vertical="center"/>
    </xf>
    <xf numFmtId="0" fontId="5" fillId="0" borderId="4" xfId="0" applyFont="1" applyBorder="1" applyAlignment="1">
      <alignment vertical="center"/>
    </xf>
    <xf numFmtId="0" fontId="0" fillId="0" borderId="23" xfId="0" applyFont="1" applyBorder="1" applyAlignment="1">
      <alignment vertical="center"/>
    </xf>
    <xf numFmtId="2" fontId="0" fillId="0" borderId="23" xfId="0" applyNumberFormat="1" applyBorder="1" applyAlignment="1">
      <alignment horizontal="center" vertical="center"/>
    </xf>
    <xf numFmtId="0" fontId="8" fillId="0" borderId="25" xfId="0" applyFont="1" applyBorder="1" applyAlignment="1">
      <alignment horizontal="center" vertical="center"/>
    </xf>
    <xf numFmtId="0" fontId="0" fillId="0" borderId="16" xfId="0" applyFont="1" applyBorder="1" applyAlignment="1">
      <alignment vertical="center"/>
    </xf>
    <xf numFmtId="2" fontId="0" fillId="0" borderId="16" xfId="0" applyNumberFormat="1" applyBorder="1" applyAlignment="1">
      <alignment horizontal="center" vertical="center"/>
    </xf>
    <xf numFmtId="0" fontId="8" fillId="0" borderId="5" xfId="0" applyFont="1" applyBorder="1" applyAlignment="1">
      <alignment horizontal="center" vertical="center"/>
    </xf>
    <xf numFmtId="0" fontId="0" fillId="0" borderId="16" xfId="0" applyBorder="1" applyAlignment="1">
      <alignment vertical="center"/>
    </xf>
    <xf numFmtId="2" fontId="0" fillId="0" borderId="0" xfId="0" applyNumberFormat="1" applyBorder="1" applyAlignment="1">
      <alignment horizontal="center" vertical="center"/>
    </xf>
    <xf numFmtId="0" fontId="8" fillId="0" borderId="0" xfId="0" applyFont="1" applyBorder="1" applyAlignment="1">
      <alignment horizontal="center" vertical="center"/>
    </xf>
    <xf numFmtId="1" fontId="0" fillId="0" borderId="16" xfId="0" applyNumberFormat="1" applyFill="1" applyBorder="1" applyAlignment="1">
      <alignment horizontal="center" vertical="center"/>
    </xf>
    <xf numFmtId="0" fontId="3" fillId="3" borderId="0" xfId="0" applyFont="1" applyFill="1" applyBorder="1" applyAlignment="1">
      <alignment vertical="center"/>
    </xf>
    <xf numFmtId="0" fontId="3" fillId="3" borderId="2" xfId="0" applyFont="1" applyFill="1" applyBorder="1" applyAlignment="1">
      <alignment vertical="center"/>
    </xf>
    <xf numFmtId="0" fontId="32" fillId="3" borderId="0" xfId="0" applyFont="1" applyFill="1" applyBorder="1" applyAlignment="1">
      <alignment vertical="center"/>
    </xf>
    <xf numFmtId="0" fontId="16" fillId="3" borderId="0" xfId="0" applyFont="1" applyFill="1" applyBorder="1" applyAlignment="1">
      <alignment horizontal="center" vertical="center"/>
    </xf>
    <xf numFmtId="2" fontId="7" fillId="7" borderId="1" xfId="0" applyNumberFormat="1"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0" fillId="3" borderId="0" xfId="0" applyFill="1" applyBorder="1" applyAlignment="1" applyProtection="1">
      <alignment vertical="center"/>
      <protection locked="0"/>
    </xf>
    <xf numFmtId="0" fontId="7" fillId="7" borderId="1" xfId="0" applyFont="1" applyFill="1" applyBorder="1" applyAlignment="1" applyProtection="1">
      <alignment horizontal="center" vertical="center"/>
      <protection locked="0"/>
    </xf>
    <xf numFmtId="2" fontId="0" fillId="3" borderId="0" xfId="0" applyNumberFormat="1" applyFill="1" applyBorder="1" applyAlignment="1">
      <alignment vertical="center"/>
    </xf>
    <xf numFmtId="9" fontId="0" fillId="3" borderId="0" xfId="0" applyNumberFormat="1" applyFill="1" applyBorder="1" applyAlignment="1">
      <alignment horizontal="center" vertical="center"/>
    </xf>
    <xf numFmtId="166" fontId="0" fillId="0" borderId="0" xfId="0" applyNumberFormat="1" applyFill="1" applyBorder="1" applyAlignment="1">
      <alignment vertical="center"/>
    </xf>
    <xf numFmtId="165" fontId="0" fillId="3" borderId="2" xfId="0" applyNumberFormat="1" applyFill="1" applyBorder="1" applyAlignment="1">
      <alignment vertical="center"/>
    </xf>
    <xf numFmtId="0" fontId="0" fillId="3" borderId="15" xfId="0" applyFill="1" applyBorder="1" applyAlignment="1">
      <alignment vertical="center"/>
    </xf>
    <xf numFmtId="0" fontId="0" fillId="3" borderId="7" xfId="0" applyFill="1" applyBorder="1" applyAlignment="1">
      <alignment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1" fillId="3" borderId="0" xfId="0" applyFont="1" applyFill="1" applyBorder="1" applyAlignment="1">
      <alignment vertical="center"/>
    </xf>
    <xf numFmtId="164" fontId="18" fillId="3" borderId="0" xfId="0" applyNumberFormat="1" applyFont="1" applyFill="1" applyBorder="1" applyAlignment="1">
      <alignment horizontal="right" vertical="center"/>
    </xf>
    <xf numFmtId="0" fontId="0" fillId="3" borderId="13" xfId="0" applyFill="1" applyBorder="1" applyAlignment="1">
      <alignment vertical="center"/>
    </xf>
    <xf numFmtId="0" fontId="16" fillId="3" borderId="13" xfId="0" applyFont="1" applyFill="1" applyBorder="1" applyAlignment="1">
      <alignment horizontal="center" vertical="center"/>
    </xf>
    <xf numFmtId="2" fontId="0" fillId="3" borderId="13" xfId="0" applyNumberFormat="1" applyFill="1" applyBorder="1" applyAlignment="1">
      <alignment horizontal="center" vertical="center"/>
    </xf>
    <xf numFmtId="0" fontId="0" fillId="0" borderId="13" xfId="0" applyBorder="1" applyAlignment="1">
      <alignment vertical="center"/>
    </xf>
    <xf numFmtId="164" fontId="1" fillId="3" borderId="13" xfId="0" applyNumberFormat="1" applyFont="1" applyFill="1" applyBorder="1" applyAlignment="1">
      <alignment horizontal="right" vertical="center"/>
    </xf>
    <xf numFmtId="0" fontId="4" fillId="3" borderId="0" xfId="0" applyFont="1" applyFill="1" applyBorder="1" applyAlignment="1">
      <alignment horizontal="right" vertical="center"/>
    </xf>
    <xf numFmtId="0" fontId="13" fillId="3" borderId="0" xfId="0" applyFont="1" applyFill="1" applyBorder="1" applyAlignment="1">
      <alignment vertical="center"/>
    </xf>
    <xf numFmtId="0" fontId="5" fillId="3" borderId="0" xfId="0" applyFont="1" applyFill="1" applyBorder="1" applyAlignment="1">
      <alignment horizontal="left" vertical="center"/>
    </xf>
    <xf numFmtId="9" fontId="0" fillId="7" borderId="1" xfId="0" applyNumberFormat="1" applyFill="1" applyBorder="1" applyAlignment="1" applyProtection="1">
      <alignment horizontal="center" vertical="center"/>
      <protection locked="0"/>
    </xf>
    <xf numFmtId="164" fontId="1" fillId="3" borderId="13" xfId="0" applyNumberFormat="1" applyFont="1" applyFill="1" applyBorder="1" applyAlignment="1">
      <alignment horizontal="center" vertical="center"/>
    </xf>
    <xf numFmtId="166" fontId="1" fillId="3" borderId="0" xfId="0" applyNumberFormat="1" applyFont="1" applyFill="1" applyBorder="1" applyAlignment="1" applyProtection="1">
      <alignment horizontal="center" vertical="center"/>
    </xf>
    <xf numFmtId="0" fontId="0" fillId="3" borderId="7" xfId="0" applyFill="1" applyBorder="1" applyAlignment="1">
      <alignment horizontal="left" vertical="center"/>
    </xf>
    <xf numFmtId="0" fontId="0" fillId="3" borderId="18" xfId="0" applyFill="1" applyBorder="1" applyAlignment="1">
      <alignment vertical="center"/>
    </xf>
    <xf numFmtId="0" fontId="5" fillId="16" borderId="0" xfId="0" applyFont="1" applyFill="1" applyBorder="1" applyAlignment="1">
      <alignment horizontal="left" vertical="center"/>
    </xf>
    <xf numFmtId="0" fontId="3" fillId="3" borderId="7" xfId="0" applyFont="1" applyFill="1" applyBorder="1" applyAlignment="1">
      <alignment vertical="center"/>
    </xf>
    <xf numFmtId="164" fontId="0" fillId="3" borderId="13" xfId="0" applyNumberFormat="1" applyFill="1" applyBorder="1" applyAlignment="1">
      <alignment horizontal="center" vertical="center"/>
    </xf>
    <xf numFmtId="8" fontId="15" fillId="3" borderId="13" xfId="0" applyNumberFormat="1" applyFont="1" applyFill="1" applyBorder="1" applyAlignment="1">
      <alignment horizontal="center" vertical="center"/>
    </xf>
    <xf numFmtId="0" fontId="5" fillId="3" borderId="13" xfId="0" applyFont="1" applyFill="1" applyBorder="1" applyAlignment="1">
      <alignment horizontal="center" vertical="center"/>
    </xf>
    <xf numFmtId="2" fontId="0" fillId="10" borderId="1" xfId="0" applyNumberFormat="1" applyFill="1" applyBorder="1" applyAlignment="1">
      <alignment horizontal="center" vertical="center"/>
    </xf>
    <xf numFmtId="167" fontId="7" fillId="10" borderId="21" xfId="0" applyNumberFormat="1" applyFont="1" applyFill="1" applyBorder="1" applyAlignment="1">
      <alignment horizontal="center" vertical="center"/>
    </xf>
    <xf numFmtId="0" fontId="8" fillId="3" borderId="0" xfId="0" applyFont="1" applyFill="1" applyBorder="1" applyAlignment="1">
      <alignment horizontal="center" vertical="center"/>
    </xf>
    <xf numFmtId="165" fontId="0" fillId="3" borderId="0" xfId="0" applyNumberFormat="1" applyFill="1" applyBorder="1" applyAlignment="1">
      <alignment vertical="center"/>
    </xf>
    <xf numFmtId="9" fontId="0" fillId="3" borderId="0" xfId="1" applyNumberFormat="1" applyFont="1" applyFill="1" applyBorder="1" applyAlignment="1" applyProtection="1">
      <alignment horizontal="center" vertical="center"/>
      <protection locked="0"/>
    </xf>
    <xf numFmtId="0" fontId="8" fillId="3" borderId="0" xfId="0" applyFont="1" applyFill="1" applyBorder="1" applyAlignment="1">
      <alignment vertical="center"/>
    </xf>
    <xf numFmtId="0" fontId="0" fillId="0" borderId="0" xfId="0" applyFill="1" applyBorder="1" applyAlignment="1">
      <alignment horizontal="center" vertical="center"/>
    </xf>
    <xf numFmtId="0" fontId="0" fillId="0" borderId="13" xfId="0" applyFill="1" applyBorder="1" applyAlignment="1">
      <alignment horizontal="center" vertical="center"/>
    </xf>
    <xf numFmtId="164" fontId="1" fillId="16" borderId="24" xfId="0" applyNumberFormat="1" applyFont="1" applyFill="1" applyBorder="1" applyAlignment="1">
      <alignment horizontal="center" vertical="center"/>
    </xf>
    <xf numFmtId="164" fontId="7" fillId="7" borderId="29" xfId="0" applyNumberFormat="1" applyFont="1" applyFill="1" applyBorder="1" applyAlignment="1" applyProtection="1">
      <alignment horizontal="center" vertical="center"/>
      <protection locked="0"/>
    </xf>
    <xf numFmtId="0" fontId="0" fillId="16" borderId="0" xfId="0" applyFill="1" applyBorder="1" applyAlignment="1" applyProtection="1">
      <alignment horizontal="center" vertical="center"/>
    </xf>
    <xf numFmtId="164" fontId="0" fillId="16" borderId="0" xfId="0" applyNumberFormat="1" applyFill="1" applyBorder="1" applyAlignment="1" applyProtection="1">
      <alignment horizontal="center" vertical="center"/>
    </xf>
    <xf numFmtId="164" fontId="5" fillId="16" borderId="0" xfId="0" applyNumberFormat="1" applyFont="1" applyFill="1" applyBorder="1" applyAlignment="1" applyProtection="1">
      <alignment horizontal="center" vertical="center"/>
    </xf>
    <xf numFmtId="164" fontId="0" fillId="16" borderId="0" xfId="0" applyNumberFormat="1" applyFill="1" applyBorder="1" applyAlignment="1" applyProtection="1">
      <alignment vertical="center"/>
    </xf>
    <xf numFmtId="0" fontId="0" fillId="3" borderId="0" xfId="0" applyFill="1" applyBorder="1" applyAlignment="1" applyProtection="1">
      <alignment vertical="center"/>
    </xf>
    <xf numFmtId="0" fontId="0" fillId="3" borderId="0" xfId="0" applyFont="1" applyFill="1" applyBorder="1" applyAlignment="1" applyProtection="1">
      <alignment horizontal="center" vertical="center"/>
    </xf>
    <xf numFmtId="2" fontId="0" fillId="3" borderId="0" xfId="0" applyNumberFormat="1" applyFill="1" applyBorder="1" applyAlignment="1" applyProtection="1">
      <alignment horizontal="center" vertical="center"/>
    </xf>
    <xf numFmtId="0" fontId="0" fillId="3" borderId="0" xfId="0" applyFill="1" applyBorder="1" applyAlignment="1" applyProtection="1">
      <alignment horizontal="center" vertical="center"/>
    </xf>
    <xf numFmtId="0" fontId="5" fillId="0" borderId="0" xfId="0" applyFont="1" applyFill="1" applyBorder="1" applyAlignment="1">
      <alignment vertical="center"/>
    </xf>
    <xf numFmtId="0" fontId="5" fillId="0" borderId="6" xfId="0" applyFont="1" applyFill="1" applyBorder="1" applyAlignment="1">
      <alignment horizontal="center" vertical="center"/>
    </xf>
    <xf numFmtId="0" fontId="0" fillId="0" borderId="5" xfId="0" applyFill="1" applyBorder="1" applyAlignment="1">
      <alignment horizontal="center" vertical="center"/>
    </xf>
    <xf numFmtId="0" fontId="5" fillId="8" borderId="7" xfId="0" applyFont="1" applyFill="1" applyBorder="1" applyAlignment="1">
      <alignment vertical="center"/>
    </xf>
    <xf numFmtId="0" fontId="5" fillId="8" borderId="16" xfId="0" applyFont="1" applyFill="1" applyBorder="1" applyAlignment="1">
      <alignment horizontal="center" vertical="center"/>
    </xf>
    <xf numFmtId="0" fontId="5" fillId="8" borderId="0" xfId="0" applyFont="1" applyFill="1" applyBorder="1" applyAlignment="1">
      <alignment horizontal="center" vertical="center"/>
    </xf>
    <xf numFmtId="0" fontId="0" fillId="8" borderId="0" xfId="0" applyFont="1" applyFill="1" applyAlignment="1">
      <alignment vertical="center"/>
    </xf>
    <xf numFmtId="8" fontId="7" fillId="8" borderId="23" xfId="0" applyNumberFormat="1" applyFont="1" applyFill="1" applyBorder="1" applyAlignment="1">
      <alignment horizontal="center" vertical="center"/>
    </xf>
    <xf numFmtId="8" fontId="7" fillId="8" borderId="25" xfId="0" applyNumberFormat="1" applyFont="1" applyFill="1" applyBorder="1" applyAlignment="1">
      <alignment horizontal="center" vertical="center"/>
    </xf>
    <xf numFmtId="8" fontId="7" fillId="8" borderId="16" xfId="0" applyNumberFormat="1" applyFont="1" applyFill="1" applyBorder="1" applyAlignment="1">
      <alignment horizontal="center" vertical="center"/>
    </xf>
    <xf numFmtId="8" fontId="7" fillId="8" borderId="4" xfId="0" applyNumberFormat="1" applyFont="1" applyFill="1" applyBorder="1" applyAlignment="1">
      <alignment horizontal="center" vertical="center"/>
    </xf>
    <xf numFmtId="8" fontId="7" fillId="8" borderId="0" xfId="0" applyNumberFormat="1" applyFont="1" applyFill="1" applyAlignment="1">
      <alignment horizontal="center" vertical="center"/>
    </xf>
    <xf numFmtId="0" fontId="5" fillId="0" borderId="5" xfId="0" applyFont="1" applyBorder="1" applyAlignment="1">
      <alignment horizontal="center" vertical="center"/>
    </xf>
    <xf numFmtId="1" fontId="0" fillId="7" borderId="1" xfId="0" applyNumberFormat="1" applyFont="1" applyFill="1" applyBorder="1" applyAlignment="1" applyProtection="1">
      <alignment horizontal="center" vertical="center"/>
      <protection locked="0"/>
    </xf>
    <xf numFmtId="1" fontId="0" fillId="3" borderId="0" xfId="0" applyNumberFormat="1" applyFill="1" applyBorder="1" applyAlignment="1">
      <alignment vertical="center"/>
    </xf>
    <xf numFmtId="0" fontId="7" fillId="0" borderId="0" xfId="0" applyFont="1" applyBorder="1" applyAlignment="1">
      <alignment vertical="center"/>
    </xf>
    <xf numFmtId="0" fontId="7" fillId="0" borderId="0" xfId="0" applyFont="1" applyFill="1" applyAlignment="1">
      <alignment vertical="center"/>
    </xf>
    <xf numFmtId="0" fontId="7" fillId="0" borderId="0" xfId="0" applyFont="1" applyBorder="1"/>
    <xf numFmtId="2" fontId="1" fillId="0" borderId="0" xfId="0" applyNumberFormat="1" applyFont="1" applyFill="1" applyBorder="1" applyAlignment="1" applyProtection="1">
      <alignment horizontal="center" vertical="center"/>
    </xf>
    <xf numFmtId="0" fontId="4" fillId="3" borderId="0" xfId="0" applyFont="1" applyFill="1" applyBorder="1" applyAlignment="1" applyProtection="1">
      <alignment horizontal="center" vertical="top"/>
    </xf>
    <xf numFmtId="164" fontId="7" fillId="7" borderId="16" xfId="0" applyNumberFormat="1" applyFont="1" applyFill="1" applyBorder="1" applyAlignment="1" applyProtection="1">
      <alignment horizontal="center" vertical="center"/>
      <protection locked="0"/>
    </xf>
    <xf numFmtId="164" fontId="0" fillId="7" borderId="23" xfId="0" applyNumberFormat="1" applyFill="1" applyBorder="1" applyAlignment="1" applyProtection="1">
      <alignment horizontal="center" vertical="center"/>
      <protection locked="0"/>
    </xf>
    <xf numFmtId="164" fontId="0" fillId="7" borderId="16" xfId="0" applyNumberFormat="1" applyFill="1" applyBorder="1" applyAlignment="1" applyProtection="1">
      <alignment horizontal="center" vertical="center"/>
      <protection locked="0"/>
    </xf>
    <xf numFmtId="164" fontId="0" fillId="7" borderId="0" xfId="0" applyNumberFormat="1" applyFill="1" applyAlignment="1" applyProtection="1">
      <alignment horizontal="center"/>
      <protection locked="0"/>
    </xf>
    <xf numFmtId="164" fontId="7" fillId="7" borderId="52" xfId="0" applyNumberFormat="1" applyFont="1" applyFill="1" applyBorder="1" applyAlignment="1" applyProtection="1">
      <alignment horizontal="center" vertical="center"/>
      <protection locked="0"/>
    </xf>
    <xf numFmtId="164" fontId="7" fillId="7" borderId="53" xfId="0" applyNumberFormat="1" applyFont="1" applyFill="1" applyBorder="1" applyAlignment="1" applyProtection="1">
      <alignment horizontal="center" vertical="center"/>
      <protection locked="0"/>
    </xf>
    <xf numFmtId="164" fontId="0" fillId="7" borderId="52" xfId="0" applyNumberFormat="1" applyFill="1" applyBorder="1" applyAlignment="1" applyProtection="1">
      <alignment horizontal="center" vertical="center"/>
      <protection locked="0"/>
    </xf>
    <xf numFmtId="164" fontId="0" fillId="7" borderId="53" xfId="0" applyNumberFormat="1" applyFill="1" applyBorder="1" applyAlignment="1" applyProtection="1">
      <alignment horizontal="center" vertical="center"/>
      <protection locked="0"/>
    </xf>
    <xf numFmtId="0" fontId="0" fillId="0" borderId="2" xfId="0" applyBorder="1" applyAlignment="1">
      <alignment vertical="center"/>
    </xf>
    <xf numFmtId="164" fontId="0" fillId="8" borderId="39" xfId="0" applyNumberFormat="1" applyFill="1" applyBorder="1" applyAlignment="1">
      <alignment horizontal="center" vertical="center"/>
    </xf>
    <xf numFmtId="164" fontId="0" fillId="7" borderId="52" xfId="0" applyNumberFormat="1" applyFill="1" applyBorder="1" applyAlignment="1" applyProtection="1">
      <alignment horizontal="center"/>
      <protection locked="0"/>
    </xf>
    <xf numFmtId="164" fontId="0" fillId="7" borderId="53" xfId="0" applyNumberFormat="1" applyFill="1" applyBorder="1" applyAlignment="1" applyProtection="1">
      <alignment horizontal="center"/>
      <protection locked="0"/>
    </xf>
    <xf numFmtId="164" fontId="0" fillId="8" borderId="9" xfId="0" applyNumberFormat="1" applyFill="1" applyBorder="1" applyAlignment="1">
      <alignment horizontal="center" vertical="center"/>
    </xf>
    <xf numFmtId="164" fontId="0" fillId="7" borderId="10" xfId="0" applyNumberFormat="1" applyFill="1" applyBorder="1" applyAlignment="1" applyProtection="1">
      <alignment horizontal="center" vertical="center"/>
      <protection locked="0"/>
    </xf>
    <xf numFmtId="164" fontId="0" fillId="16" borderId="24" xfId="0" applyNumberFormat="1" applyFill="1" applyBorder="1" applyAlignment="1">
      <alignment vertical="center"/>
    </xf>
    <xf numFmtId="0" fontId="19" fillId="0" borderId="0" xfId="0" applyFont="1" applyAlignment="1">
      <alignment vertical="center"/>
    </xf>
    <xf numFmtId="0" fontId="0" fillId="0" borderId="44" xfId="0" applyFont="1" applyBorder="1" applyAlignment="1">
      <alignment horizontal="left"/>
    </xf>
    <xf numFmtId="0" fontId="0" fillId="0" borderId="45" xfId="0" applyFill="1" applyBorder="1" applyAlignment="1">
      <alignment horizontal="center" vertical="center"/>
    </xf>
    <xf numFmtId="0" fontId="0" fillId="0" borderId="46" xfId="0" applyFill="1" applyBorder="1" applyAlignment="1">
      <alignment horizontal="center" vertical="center"/>
    </xf>
    <xf numFmtId="2" fontId="1" fillId="0" borderId="0" xfId="0" applyNumberFormat="1" applyFont="1" applyFill="1" applyBorder="1" applyAlignment="1" applyProtection="1">
      <alignment horizontal="center"/>
    </xf>
    <xf numFmtId="2" fontId="1" fillId="0" borderId="0" xfId="0" applyNumberFormat="1" applyFont="1" applyFill="1" applyAlignment="1">
      <alignment horizontal="center"/>
    </xf>
    <xf numFmtId="0" fontId="0" fillId="0" borderId="54" xfId="0" applyFill="1" applyBorder="1" applyAlignment="1">
      <alignment horizontal="left" vertical="center"/>
    </xf>
    <xf numFmtId="0" fontId="0" fillId="7" borderId="54" xfId="0" applyFill="1" applyBorder="1" applyAlignment="1" applyProtection="1">
      <alignment horizontal="center" vertical="center"/>
      <protection locked="0"/>
    </xf>
    <xf numFmtId="0" fontId="3" fillId="2" borderId="11" xfId="0" applyFont="1" applyFill="1" applyBorder="1" applyAlignment="1">
      <alignment horizontal="left" vertical="center"/>
    </xf>
    <xf numFmtId="0" fontId="0" fillId="6" borderId="11" xfId="0" applyFont="1" applyFill="1" applyBorder="1" applyAlignment="1">
      <alignment horizontal="left" vertical="center"/>
    </xf>
    <xf numFmtId="0" fontId="0" fillId="6" borderId="12" xfId="0" applyFont="1" applyFill="1" applyBorder="1" applyAlignment="1">
      <alignment horizontal="left" vertical="center"/>
    </xf>
    <xf numFmtId="0" fontId="0" fillId="6" borderId="10" xfId="0" applyFill="1" applyBorder="1" applyAlignment="1">
      <alignment vertical="center"/>
    </xf>
    <xf numFmtId="0" fontId="3" fillId="3" borderId="5" xfId="0" applyFont="1" applyFill="1" applyBorder="1" applyAlignment="1">
      <alignment vertical="center"/>
    </xf>
    <xf numFmtId="0" fontId="3" fillId="3" borderId="4" xfId="0" applyFont="1" applyFill="1" applyBorder="1" applyAlignment="1">
      <alignment vertical="center"/>
    </xf>
    <xf numFmtId="0" fontId="3" fillId="3" borderId="5" xfId="0" applyFont="1" applyFill="1" applyBorder="1" applyAlignment="1">
      <alignment horizontal="left" vertical="center"/>
    </xf>
    <xf numFmtId="0" fontId="0" fillId="3" borderId="0" xfId="0" applyFill="1" applyBorder="1"/>
    <xf numFmtId="0" fontId="2" fillId="3" borderId="4" xfId="0" applyFont="1" applyFill="1" applyBorder="1" applyAlignment="1">
      <alignment horizontal="center" vertical="center"/>
    </xf>
    <xf numFmtId="0" fontId="0" fillId="3" borderId="5" xfId="0" applyFill="1" applyBorder="1" applyAlignment="1">
      <alignment vertical="center"/>
    </xf>
    <xf numFmtId="0" fontId="4" fillId="3" borderId="5" xfId="0" applyFont="1" applyFill="1" applyBorder="1" applyAlignment="1">
      <alignment horizontal="left" vertical="center"/>
    </xf>
    <xf numFmtId="0" fontId="4" fillId="3" borderId="4" xfId="0" applyFont="1" applyFill="1" applyBorder="1" applyAlignment="1">
      <alignment horizontal="left" vertical="center"/>
    </xf>
    <xf numFmtId="2" fontId="1" fillId="3" borderId="0" xfId="0" applyNumberFormat="1" applyFont="1" applyFill="1" applyBorder="1" applyAlignment="1">
      <alignment horizontal="center"/>
    </xf>
    <xf numFmtId="0" fontId="13" fillId="16" borderId="0" xfId="0" applyFont="1" applyFill="1" applyBorder="1" applyAlignment="1">
      <alignment horizontal="center" vertical="center"/>
    </xf>
    <xf numFmtId="0" fontId="0" fillId="3" borderId="4" xfId="0" applyFill="1" applyBorder="1" applyAlignment="1">
      <alignment vertical="center"/>
    </xf>
    <xf numFmtId="166" fontId="0" fillId="3" borderId="4" xfId="0" applyNumberFormat="1" applyFill="1" applyBorder="1" applyAlignment="1">
      <alignment vertical="center"/>
    </xf>
    <xf numFmtId="164" fontId="0" fillId="3" borderId="0" xfId="0" applyNumberFormat="1" applyFill="1" applyBorder="1" applyAlignment="1">
      <alignment vertical="center"/>
    </xf>
    <xf numFmtId="0" fontId="3" fillId="2" borderId="10" xfId="0" applyFont="1" applyFill="1" applyBorder="1" applyAlignment="1">
      <alignment horizontal="left" vertical="center"/>
    </xf>
    <xf numFmtId="0" fontId="3" fillId="2" borderId="12" xfId="0" applyFont="1" applyFill="1" applyBorder="1" applyAlignment="1">
      <alignment horizontal="left" vertical="center"/>
    </xf>
    <xf numFmtId="0" fontId="18" fillId="3" borderId="0" xfId="0" applyFont="1" applyFill="1" applyBorder="1" applyAlignment="1">
      <alignment vertical="center"/>
    </xf>
    <xf numFmtId="0" fontId="0" fillId="3" borderId="51" xfId="0" applyFill="1" applyBorder="1" applyAlignment="1">
      <alignment vertical="center"/>
    </xf>
    <xf numFmtId="0" fontId="2" fillId="0" borderId="4" xfId="0" applyFont="1" applyFill="1" applyBorder="1" applyAlignment="1">
      <alignment horizontal="center" vertical="center"/>
    </xf>
    <xf numFmtId="0" fontId="0" fillId="3" borderId="48" xfId="0" applyFill="1" applyBorder="1" applyAlignment="1">
      <alignment vertical="center"/>
    </xf>
    <xf numFmtId="0" fontId="0" fillId="3" borderId="49" xfId="0" applyFill="1" applyBorder="1" applyAlignment="1">
      <alignment vertical="center"/>
    </xf>
    <xf numFmtId="0" fontId="2" fillId="3" borderId="4" xfId="0" applyNumberFormat="1" applyFont="1" applyFill="1" applyBorder="1" applyAlignment="1">
      <alignment horizontal="center" vertical="center"/>
    </xf>
    <xf numFmtId="2" fontId="1" fillId="3" borderId="4"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0" fontId="3" fillId="3" borderId="4" xfId="0" applyFont="1" applyFill="1" applyBorder="1" applyAlignment="1">
      <alignment horizontal="left" vertical="center"/>
    </xf>
    <xf numFmtId="0" fontId="7" fillId="16" borderId="0" xfId="0" applyFont="1" applyFill="1" applyBorder="1" applyAlignment="1" applyProtection="1">
      <alignment vertical="center"/>
    </xf>
    <xf numFmtId="164" fontId="1" fillId="0" borderId="0" xfId="0" applyNumberFormat="1" applyFont="1" applyBorder="1" applyAlignment="1">
      <alignment horizontal="center" vertical="center"/>
    </xf>
    <xf numFmtId="0" fontId="3" fillId="3" borderId="4" xfId="0" applyFont="1" applyFill="1" applyBorder="1" applyAlignment="1">
      <alignment horizontal="center" vertical="center"/>
    </xf>
    <xf numFmtId="0" fontId="37" fillId="3" borderId="5" xfId="0" applyFont="1" applyFill="1" applyBorder="1" applyAlignment="1">
      <alignment horizontal="left" vertical="center"/>
    </xf>
    <xf numFmtId="0" fontId="37" fillId="3" borderId="4" xfId="0" applyFont="1" applyFill="1" applyBorder="1" applyAlignment="1">
      <alignment horizontal="left" vertical="center"/>
    </xf>
    <xf numFmtId="0" fontId="7" fillId="3" borderId="4" xfId="0" applyFont="1" applyFill="1" applyBorder="1" applyAlignment="1">
      <alignment vertical="center"/>
    </xf>
    <xf numFmtId="165" fontId="0" fillId="0" borderId="0" xfId="0" applyNumberFormat="1" applyBorder="1" applyAlignment="1">
      <alignment horizontal="center" vertical="center"/>
    </xf>
    <xf numFmtId="166" fontId="1" fillId="0" borderId="0" xfId="0" applyNumberFormat="1" applyFont="1" applyBorder="1" applyAlignment="1">
      <alignment vertical="center"/>
    </xf>
    <xf numFmtId="166" fontId="1" fillId="3" borderId="0" xfId="0" applyNumberFormat="1" applyFont="1" applyFill="1" applyBorder="1" applyAlignment="1">
      <alignment vertical="center"/>
    </xf>
    <xf numFmtId="164" fontId="29" fillId="3" borderId="0" xfId="0" applyNumberFormat="1" applyFont="1" applyFill="1" applyBorder="1" applyAlignment="1">
      <alignment horizontal="center" vertical="center"/>
    </xf>
    <xf numFmtId="0" fontId="5" fillId="16" borderId="0" xfId="0" applyFont="1" applyFill="1" applyBorder="1" applyAlignment="1">
      <alignment vertical="center"/>
    </xf>
    <xf numFmtId="0" fontId="38" fillId="3" borderId="0" xfId="0" applyFont="1" applyFill="1" applyBorder="1" applyAlignment="1">
      <alignment vertical="center"/>
    </xf>
    <xf numFmtId="0" fontId="0" fillId="3" borderId="55" xfId="0" applyFill="1" applyBorder="1" applyAlignment="1">
      <alignment vertical="center"/>
    </xf>
    <xf numFmtId="0" fontId="0" fillId="0" borderId="34" xfId="0" applyBorder="1" applyAlignment="1">
      <alignment horizontal="left"/>
    </xf>
    <xf numFmtId="0" fontId="0" fillId="3" borderId="0" xfId="0" applyFill="1"/>
    <xf numFmtId="0" fontId="0" fillId="17" borderId="0" xfId="0" applyFill="1" applyBorder="1" applyAlignment="1">
      <alignment horizontal="center" vertical="center"/>
    </xf>
    <xf numFmtId="0" fontId="7" fillId="17" borderId="0" xfId="0" applyFont="1" applyFill="1" applyBorder="1" applyAlignment="1">
      <alignment horizontal="center" vertical="center"/>
    </xf>
    <xf numFmtId="0" fontId="0" fillId="17" borderId="0" xfId="0" applyFill="1" applyBorder="1" applyAlignment="1">
      <alignment vertical="center"/>
    </xf>
    <xf numFmtId="2" fontId="18" fillId="17" borderId="0" xfId="0" applyNumberFormat="1" applyFont="1" applyFill="1" applyBorder="1" applyAlignment="1">
      <alignment horizontal="center" vertical="center"/>
    </xf>
    <xf numFmtId="164" fontId="7" fillId="17" borderId="20" xfId="0" applyNumberFormat="1" applyFont="1" applyFill="1" applyBorder="1" applyAlignment="1" applyProtection="1">
      <alignment horizontal="center" vertical="center"/>
      <protection locked="0"/>
    </xf>
    <xf numFmtId="0" fontId="1" fillId="17" borderId="0" xfId="0" applyFont="1" applyFill="1" applyBorder="1" applyAlignment="1" applyProtection="1">
      <alignment horizontal="center" vertical="center"/>
    </xf>
    <xf numFmtId="164" fontId="7" fillId="17" borderId="0" xfId="0" applyNumberFormat="1" applyFont="1" applyFill="1" applyBorder="1" applyAlignment="1">
      <alignment horizontal="center" vertical="center"/>
    </xf>
    <xf numFmtId="0" fontId="7" fillId="0" borderId="29" xfId="0" applyFont="1" applyBorder="1" applyAlignment="1">
      <alignment horizontal="right"/>
    </xf>
    <xf numFmtId="0" fontId="5" fillId="8" borderId="3" xfId="0" applyFont="1" applyFill="1" applyBorder="1"/>
    <xf numFmtId="0" fontId="0" fillId="8" borderId="22" xfId="0" applyFill="1" applyBorder="1" applyAlignment="1">
      <alignment horizontal="center"/>
    </xf>
    <xf numFmtId="0" fontId="0" fillId="8" borderId="16" xfId="0" applyFill="1" applyBorder="1" applyAlignment="1">
      <alignment horizontal="center"/>
    </xf>
    <xf numFmtId="0" fontId="0" fillId="8" borderId="0" xfId="0" applyFill="1" applyAlignment="1">
      <alignment horizontal="center"/>
    </xf>
    <xf numFmtId="0" fontId="0" fillId="8" borderId="5" xfId="0" applyFill="1" applyBorder="1" applyAlignment="1">
      <alignment horizontal="center"/>
    </xf>
    <xf numFmtId="0" fontId="0" fillId="8" borderId="16" xfId="0" applyFont="1" applyFill="1" applyBorder="1" applyAlignment="1">
      <alignment horizontal="left"/>
    </xf>
    <xf numFmtId="0" fontId="0" fillId="8" borderId="0" xfId="0" applyFill="1" applyBorder="1" applyAlignment="1">
      <alignment horizontal="center"/>
    </xf>
    <xf numFmtId="164" fontId="0" fillId="8" borderId="5" xfId="0" applyNumberFormat="1" applyFill="1" applyBorder="1" applyAlignment="1">
      <alignment horizontal="center"/>
    </xf>
    <xf numFmtId="164" fontId="0" fillId="8" borderId="0" xfId="0" applyNumberFormat="1" applyFill="1" applyBorder="1" applyAlignment="1">
      <alignment horizontal="center" vertical="center"/>
    </xf>
    <xf numFmtId="0" fontId="0" fillId="8" borderId="42" xfId="0" applyFont="1" applyFill="1" applyBorder="1" applyAlignment="1">
      <alignment horizontal="left"/>
    </xf>
    <xf numFmtId="164" fontId="0" fillId="8" borderId="42" xfId="0" applyNumberFormat="1" applyFill="1" applyBorder="1" applyAlignment="1">
      <alignment horizontal="center" vertical="center"/>
    </xf>
    <xf numFmtId="164" fontId="0" fillId="8" borderId="43" xfId="0" applyNumberFormat="1" applyFill="1" applyBorder="1" applyAlignment="1">
      <alignment horizontal="center" vertical="center"/>
    </xf>
    <xf numFmtId="164" fontId="0" fillId="8" borderId="0" xfId="0" applyNumberFormat="1" applyFill="1" applyBorder="1" applyAlignment="1">
      <alignment horizontal="center"/>
    </xf>
    <xf numFmtId="164" fontId="0" fillId="8" borderId="16" xfId="0" applyNumberFormat="1" applyFill="1" applyBorder="1" applyAlignment="1">
      <alignment horizontal="center"/>
    </xf>
    <xf numFmtId="0" fontId="5" fillId="8" borderId="0" xfId="0" applyFont="1" applyFill="1" applyBorder="1"/>
    <xf numFmtId="0" fontId="0" fillId="8" borderId="25" xfId="0" applyFill="1" applyBorder="1" applyAlignment="1">
      <alignment horizontal="center"/>
    </xf>
    <xf numFmtId="0" fontId="0" fillId="8" borderId="23" xfId="0" applyFill="1" applyBorder="1" applyAlignment="1">
      <alignment horizontal="center"/>
    </xf>
    <xf numFmtId="0" fontId="0" fillId="8" borderId="57" xfId="0" applyFill="1" applyBorder="1" applyAlignment="1">
      <alignment horizontal="center"/>
    </xf>
    <xf numFmtId="0" fontId="0" fillId="8" borderId="0" xfId="0" applyFill="1" applyBorder="1"/>
    <xf numFmtId="0" fontId="5" fillId="8" borderId="3" xfId="0" applyFont="1" applyFill="1" applyBorder="1" applyAlignment="1">
      <alignment horizontal="left" vertical="center"/>
    </xf>
    <xf numFmtId="0" fontId="5" fillId="8" borderId="22" xfId="0" applyFont="1" applyFill="1" applyBorder="1" applyAlignment="1">
      <alignment horizontal="center"/>
    </xf>
    <xf numFmtId="0" fontId="7" fillId="8" borderId="4" xfId="0" applyFont="1" applyFill="1" applyBorder="1" applyAlignment="1">
      <alignment vertical="center" wrapText="1"/>
    </xf>
    <xf numFmtId="164" fontId="0" fillId="0" borderId="5" xfId="0" applyNumberFormat="1" applyFont="1" applyBorder="1" applyAlignment="1">
      <alignment horizontal="center"/>
    </xf>
    <xf numFmtId="0" fontId="5" fillId="8" borderId="16" xfId="0" applyFont="1" applyFill="1" applyBorder="1" applyAlignment="1">
      <alignment horizontal="center"/>
    </xf>
    <xf numFmtId="0" fontId="5" fillId="0" borderId="3" xfId="0" applyFont="1" applyBorder="1"/>
    <xf numFmtId="169" fontId="0" fillId="0" borderId="16" xfId="0" applyNumberFormat="1" applyBorder="1" applyAlignment="1">
      <alignment horizontal="center" vertical="center"/>
    </xf>
    <xf numFmtId="169" fontId="0" fillId="0" borderId="0" xfId="0" applyNumberFormat="1" applyAlignment="1">
      <alignment horizontal="center" vertical="center"/>
    </xf>
    <xf numFmtId="164" fontId="0" fillId="7" borderId="23" xfId="0" applyNumberFormat="1" applyFont="1" applyFill="1" applyBorder="1" applyAlignment="1" applyProtection="1">
      <alignment horizontal="center"/>
      <protection locked="0"/>
    </xf>
    <xf numFmtId="164" fontId="7" fillId="7" borderId="23" xfId="0" applyNumberFormat="1" applyFont="1" applyFill="1" applyBorder="1" applyAlignment="1" applyProtection="1">
      <alignment horizontal="center" vertical="center" wrapText="1"/>
      <protection locked="0"/>
    </xf>
    <xf numFmtId="0" fontId="0" fillId="0" borderId="2" xfId="0" applyBorder="1"/>
    <xf numFmtId="164" fontId="0" fillId="7" borderId="39" xfId="0" applyNumberFormat="1" applyFont="1" applyFill="1" applyBorder="1" applyAlignment="1" applyProtection="1">
      <alignment horizontal="center"/>
      <protection locked="0"/>
    </xf>
    <xf numFmtId="164" fontId="0" fillId="0" borderId="48" xfId="0" applyNumberFormat="1" applyFont="1" applyBorder="1" applyAlignment="1">
      <alignment horizontal="center"/>
    </xf>
    <xf numFmtId="9" fontId="13" fillId="8" borderId="58" xfId="0" applyNumberFormat="1" applyFont="1" applyFill="1" applyBorder="1" applyAlignment="1">
      <alignment horizontal="center" vertical="center"/>
    </xf>
    <xf numFmtId="9" fontId="13" fillId="8" borderId="59" xfId="0" applyNumberFormat="1" applyFont="1" applyFill="1" applyBorder="1" applyAlignment="1">
      <alignment horizontal="center" vertical="center"/>
    </xf>
    <xf numFmtId="9" fontId="13" fillId="8" borderId="60" xfId="0" applyNumberFormat="1" applyFont="1" applyFill="1" applyBorder="1" applyAlignment="1">
      <alignment horizontal="center" vertical="center"/>
    </xf>
    <xf numFmtId="9" fontId="13" fillId="8" borderId="46" xfId="0" applyNumberFormat="1" applyFont="1" applyFill="1" applyBorder="1" applyAlignment="1">
      <alignment horizontal="center" vertical="center"/>
    </xf>
    <xf numFmtId="164" fontId="0" fillId="7" borderId="47" xfId="0" applyNumberFormat="1" applyFont="1" applyFill="1" applyBorder="1" applyAlignment="1" applyProtection="1">
      <alignment horizontal="center" vertical="center"/>
      <protection locked="0"/>
    </xf>
    <xf numFmtId="164" fontId="0" fillId="7" borderId="50" xfId="0" applyNumberFormat="1" applyFont="1" applyFill="1" applyBorder="1" applyAlignment="1" applyProtection="1">
      <alignment horizontal="center" vertical="center"/>
      <protection locked="0"/>
    </xf>
    <xf numFmtId="164" fontId="0" fillId="7" borderId="41" xfId="0" applyNumberFormat="1" applyFont="1" applyFill="1" applyBorder="1" applyAlignment="1" applyProtection="1">
      <alignment horizontal="center" vertical="center"/>
      <protection locked="0"/>
    </xf>
    <xf numFmtId="164" fontId="0" fillId="7" borderId="57" xfId="0" applyNumberFormat="1" applyFont="1" applyFill="1" applyBorder="1" applyAlignment="1" applyProtection="1">
      <alignment horizontal="center" vertical="center"/>
      <protection locked="0"/>
    </xf>
    <xf numFmtId="164" fontId="0" fillId="7" borderId="55" xfId="0" applyNumberFormat="1" applyFont="1" applyFill="1" applyBorder="1" applyAlignment="1" applyProtection="1">
      <alignment horizontal="center" vertical="center"/>
      <protection locked="0"/>
    </xf>
    <xf numFmtId="0" fontId="0" fillId="0" borderId="2" xfId="0" applyFont="1" applyFill="1" applyBorder="1" applyAlignment="1">
      <alignment horizontal="center" vertical="center"/>
    </xf>
    <xf numFmtId="164" fontId="0" fillId="7" borderId="53" xfId="0" applyNumberFormat="1" applyFont="1" applyFill="1" applyBorder="1" applyAlignment="1" applyProtection="1">
      <alignment horizontal="center" vertical="center" wrapText="1"/>
      <protection locked="0"/>
    </xf>
    <xf numFmtId="164" fontId="0" fillId="7" borderId="53" xfId="0" applyNumberFormat="1" applyFont="1" applyFill="1" applyBorder="1" applyAlignment="1" applyProtection="1">
      <alignment horizontal="center"/>
      <protection locked="0"/>
    </xf>
    <xf numFmtId="9" fontId="5" fillId="0" borderId="22" xfId="0" applyNumberFormat="1" applyFont="1" applyFill="1" applyBorder="1" applyAlignment="1">
      <alignment horizontal="center" vertical="center"/>
    </xf>
    <xf numFmtId="9" fontId="5" fillId="0" borderId="3" xfId="0" applyNumberFormat="1" applyFont="1" applyFill="1"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1" fontId="0" fillId="0" borderId="16" xfId="0" applyNumberFormat="1" applyBorder="1" applyAlignment="1">
      <alignment horizontal="center" vertical="center"/>
    </xf>
    <xf numFmtId="1" fontId="0" fillId="0" borderId="4" xfId="0" applyNumberFormat="1"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17" fillId="0" borderId="15" xfId="0" applyFont="1" applyBorder="1" applyAlignment="1">
      <alignment horizontal="center" vertical="center"/>
    </xf>
    <xf numFmtId="0" fontId="0" fillId="0" borderId="15" xfId="0" applyBorder="1"/>
    <xf numFmtId="9" fontId="13" fillId="0" borderId="61" xfId="0" applyNumberFormat="1" applyFont="1" applyFill="1" applyBorder="1" applyAlignment="1">
      <alignment horizontal="center" vertical="center"/>
    </xf>
    <xf numFmtId="1" fontId="0" fillId="0" borderId="31" xfId="0" applyNumberFormat="1" applyFont="1" applyBorder="1" applyAlignment="1">
      <alignment horizontal="center" vertical="center"/>
    </xf>
    <xf numFmtId="0" fontId="7" fillId="0" borderId="31" xfId="0" applyFont="1" applyBorder="1" applyAlignment="1">
      <alignment horizontal="center" vertical="center"/>
    </xf>
    <xf numFmtId="0" fontId="7" fillId="0" borderId="31" xfId="0" applyFont="1" applyFill="1" applyBorder="1" applyAlignment="1">
      <alignment horizontal="center" vertical="center"/>
    </xf>
    <xf numFmtId="1" fontId="0" fillId="0" borderId="31" xfId="0" applyNumberFormat="1" applyFill="1" applyBorder="1" applyAlignment="1">
      <alignment horizontal="center" vertical="center"/>
    </xf>
    <xf numFmtId="0" fontId="43" fillId="0" borderId="0" xfId="0" applyFont="1" applyBorder="1" applyAlignment="1">
      <alignment horizontal="center"/>
    </xf>
    <xf numFmtId="0" fontId="18" fillId="0" borderId="0" xfId="0" applyFont="1" applyBorder="1" applyAlignment="1">
      <alignment vertical="center"/>
    </xf>
    <xf numFmtId="0" fontId="18" fillId="0" borderId="0" xfId="0" applyFont="1" applyBorder="1" applyAlignment="1"/>
    <xf numFmtId="0" fontId="2" fillId="0" borderId="0" xfId="0" applyFont="1" applyBorder="1" applyAlignment="1">
      <alignment horizontal="right" vertical="center"/>
    </xf>
    <xf numFmtId="2"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xf>
    <xf numFmtId="0" fontId="44" fillId="0" borderId="0" xfId="0" applyFont="1" applyFill="1" applyBorder="1" applyAlignment="1">
      <alignment horizontal="left" vertical="center"/>
    </xf>
    <xf numFmtId="0" fontId="7" fillId="0" borderId="0" xfId="0" applyFont="1" applyAlignment="1">
      <alignment horizontal="left" wrapText="1"/>
    </xf>
    <xf numFmtId="0" fontId="7" fillId="0" borderId="0" xfId="0" applyFont="1" applyAlignment="1">
      <alignment horizontal="left"/>
    </xf>
    <xf numFmtId="0" fontId="18" fillId="0" borderId="0" xfId="0" applyFont="1" applyAlignment="1">
      <alignment horizontal="center"/>
    </xf>
    <xf numFmtId="2" fontId="0" fillId="0" borderId="25" xfId="0" applyNumberFormat="1" applyBorder="1" applyAlignment="1">
      <alignment horizontal="center" vertical="center"/>
    </xf>
    <xf numFmtId="2" fontId="7" fillId="0" borderId="5" xfId="0" applyNumberFormat="1" applyFont="1" applyFill="1" applyBorder="1" applyAlignment="1">
      <alignment horizontal="center" vertical="center"/>
    </xf>
    <xf numFmtId="2" fontId="0" fillId="0" borderId="0" xfId="0" applyNumberFormat="1" applyAlignment="1">
      <alignment horizontal="center"/>
    </xf>
    <xf numFmtId="0" fontId="0" fillId="3" borderId="5" xfId="0" applyFill="1" applyBorder="1" applyAlignment="1">
      <alignment horizontal="right" vertical="center"/>
    </xf>
    <xf numFmtId="0" fontId="0" fillId="0" borderId="0" xfId="0" applyAlignment="1">
      <alignment horizontal="left" vertical="center"/>
    </xf>
    <xf numFmtId="0" fontId="18" fillId="9" borderId="0" xfId="0" applyFont="1" applyFill="1" applyAlignment="1">
      <alignment horizontal="left"/>
    </xf>
    <xf numFmtId="0" fontId="0" fillId="0" borderId="0" xfId="0" applyAlignment="1">
      <alignment horizontal="left" vertical="center" wrapText="1"/>
    </xf>
    <xf numFmtId="0" fontId="18" fillId="9" borderId="4" xfId="0" applyFont="1" applyFill="1" applyBorder="1" applyAlignment="1">
      <alignment horizontal="left"/>
    </xf>
    <xf numFmtId="0" fontId="20" fillId="0" borderId="0" xfId="0" applyFont="1" applyBorder="1" applyAlignment="1">
      <alignment horizontal="center" vertical="center"/>
    </xf>
    <xf numFmtId="0" fontId="18" fillId="0" borderId="0" xfId="0" applyFont="1" applyFill="1" applyAlignment="1">
      <alignment horizontal="left"/>
    </xf>
    <xf numFmtId="0" fontId="18" fillId="0" borderId="0" xfId="0" applyFont="1" applyFill="1" applyAlignment="1">
      <alignment horizontal="center"/>
    </xf>
    <xf numFmtId="0" fontId="18" fillId="0" borderId="0" xfId="0" applyFont="1" applyFill="1" applyBorder="1" applyAlignment="1">
      <alignment horizontal="center"/>
    </xf>
    <xf numFmtId="0" fontId="18" fillId="0" borderId="4" xfId="0" applyFont="1" applyFill="1" applyBorder="1" applyAlignment="1">
      <alignment horizontal="left" vertical="center"/>
    </xf>
    <xf numFmtId="167" fontId="0" fillId="0" borderId="0" xfId="0" applyNumberFormat="1" applyFill="1" applyBorder="1" applyAlignment="1">
      <alignment horizontal="center" vertical="center"/>
    </xf>
    <xf numFmtId="0" fontId="0" fillId="0" borderId="6" xfId="0" applyFill="1" applyBorder="1"/>
    <xf numFmtId="0" fontId="0" fillId="0" borderId="7" xfId="0" applyFill="1" applyBorder="1"/>
    <xf numFmtId="2" fontId="1" fillId="0" borderId="0" xfId="0" applyNumberFormat="1" applyFont="1" applyAlignment="1">
      <alignment horizontal="center"/>
    </xf>
    <xf numFmtId="0" fontId="0" fillId="3" borderId="0" xfId="0" applyFill="1" applyBorder="1" applyAlignment="1">
      <alignment horizontal="center"/>
    </xf>
    <xf numFmtId="0" fontId="46" fillId="0" borderId="0" xfId="0" applyFont="1"/>
    <xf numFmtId="0" fontId="0" fillId="6" borderId="9" xfId="0" applyFill="1" applyBorder="1" applyAlignment="1">
      <alignment horizontal="left" vertical="center"/>
    </xf>
    <xf numFmtId="0" fontId="0" fillId="6" borderId="8" xfId="0" applyFill="1" applyBorder="1" applyAlignment="1">
      <alignment horizontal="left" vertical="center"/>
    </xf>
    <xf numFmtId="0" fontId="0" fillId="6" borderId="19" xfId="0" applyFill="1" applyBorder="1" applyAlignment="1">
      <alignment horizontal="left" vertical="center"/>
    </xf>
    <xf numFmtId="0" fontId="37" fillId="4" borderId="10" xfId="0" applyFont="1" applyFill="1" applyBorder="1" applyAlignment="1">
      <alignment horizontal="left" vertical="center"/>
    </xf>
    <xf numFmtId="0" fontId="37" fillId="4" borderId="11" xfId="0" applyFont="1" applyFill="1" applyBorder="1" applyAlignment="1">
      <alignment horizontal="left" vertical="center"/>
    </xf>
    <xf numFmtId="0" fontId="37" fillId="4" borderId="12" xfId="0" applyFont="1" applyFill="1" applyBorder="1" applyAlignment="1">
      <alignment horizontal="left" vertical="center"/>
    </xf>
    <xf numFmtId="0" fontId="0" fillId="6" borderId="10" xfId="0" applyFont="1" applyFill="1" applyBorder="1" applyAlignment="1">
      <alignment horizontal="left" vertical="center"/>
    </xf>
    <xf numFmtId="0" fontId="0" fillId="6" borderId="11" xfId="0" applyFont="1" applyFill="1" applyBorder="1" applyAlignment="1">
      <alignment horizontal="left" vertical="center"/>
    </xf>
    <xf numFmtId="0" fontId="0" fillId="6" borderId="12" xfId="0" applyFont="1" applyFill="1" applyBorder="1" applyAlignment="1">
      <alignment horizontal="left" vertical="center"/>
    </xf>
    <xf numFmtId="0" fontId="25" fillId="2" borderId="25" xfId="0" applyFont="1" applyFill="1" applyBorder="1" applyAlignment="1">
      <alignment horizontal="left" vertical="center"/>
    </xf>
    <xf numFmtId="0" fontId="25" fillId="2" borderId="24" xfId="0" applyFont="1" applyFill="1" applyBorder="1" applyAlignment="1">
      <alignment horizontal="left" vertical="center"/>
    </xf>
    <xf numFmtId="0" fontId="25" fillId="2" borderId="14" xfId="0" applyFont="1" applyFill="1" applyBorder="1" applyAlignment="1">
      <alignment horizontal="left" vertical="center"/>
    </xf>
    <xf numFmtId="0" fontId="4" fillId="3" borderId="48"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49" xfId="0" applyFont="1" applyFill="1" applyBorder="1" applyAlignment="1">
      <alignment horizontal="center" vertical="center"/>
    </xf>
    <xf numFmtId="0" fontId="0" fillId="3" borderId="10" xfId="0" applyFill="1" applyBorder="1" applyAlignment="1" applyProtection="1">
      <alignment horizontal="left" vertical="center"/>
      <protection locked="0"/>
    </xf>
    <xf numFmtId="0" fontId="0" fillId="3" borderId="11" xfId="0" applyFill="1"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11" fillId="2" borderId="51"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55" xfId="0" applyFont="1" applyFill="1" applyBorder="1" applyAlignment="1">
      <alignment horizontal="left" vertical="center"/>
    </xf>
    <xf numFmtId="0" fontId="0" fillId="6" borderId="27" xfId="0" applyFont="1" applyFill="1" applyBorder="1" applyAlignment="1">
      <alignment horizontal="left" vertical="center"/>
    </xf>
    <xf numFmtId="0" fontId="0" fillId="6" borderId="18" xfId="0" applyFont="1" applyFill="1" applyBorder="1" applyAlignment="1">
      <alignment horizontal="left" vertical="center"/>
    </xf>
    <xf numFmtId="0" fontId="0" fillId="6" borderId="28" xfId="0" applyFont="1" applyFill="1" applyBorder="1" applyAlignment="1">
      <alignment horizontal="left" vertical="center"/>
    </xf>
    <xf numFmtId="0" fontId="0" fillId="3" borderId="10" xfId="0" applyFont="1" applyFill="1" applyBorder="1" applyAlignment="1" applyProtection="1">
      <alignment horizontal="left" vertical="center"/>
      <protection locked="0"/>
    </xf>
    <xf numFmtId="0" fontId="0" fillId="3" borderId="11" xfId="0" applyFont="1" applyFill="1" applyBorder="1" applyAlignment="1" applyProtection="1">
      <alignment horizontal="left" vertical="center"/>
      <protection locked="0"/>
    </xf>
    <xf numFmtId="0" fontId="0" fillId="3" borderId="12" xfId="0" applyFont="1" applyFill="1" applyBorder="1" applyAlignment="1" applyProtection="1">
      <alignment horizontal="left" vertical="center"/>
      <protection locked="0"/>
    </xf>
    <xf numFmtId="0" fontId="0" fillId="3" borderId="9"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3" borderId="19" xfId="0" applyFill="1" applyBorder="1" applyAlignment="1" applyProtection="1">
      <alignment horizontal="left" vertical="center"/>
      <protection locked="0"/>
    </xf>
    <xf numFmtId="0" fontId="0" fillId="3" borderId="27" xfId="0" applyFont="1" applyFill="1" applyBorder="1" applyAlignment="1" applyProtection="1">
      <alignment horizontal="left" vertical="center"/>
      <protection locked="0"/>
    </xf>
    <xf numFmtId="0" fontId="0" fillId="3" borderId="18" xfId="0" applyFont="1" applyFill="1" applyBorder="1" applyAlignment="1" applyProtection="1">
      <alignment horizontal="left" vertical="center"/>
      <protection locked="0"/>
    </xf>
    <xf numFmtId="0" fontId="0" fillId="3" borderId="28" xfId="0" applyFont="1" applyFill="1" applyBorder="1" applyAlignment="1" applyProtection="1">
      <alignment horizontal="left" vertical="center"/>
      <protection locked="0"/>
    </xf>
    <xf numFmtId="0" fontId="0" fillId="2" borderId="27" xfId="0" applyFill="1" applyBorder="1" applyAlignment="1">
      <alignment horizontal="center" vertical="center"/>
    </xf>
    <xf numFmtId="0" fontId="0" fillId="2" borderId="18" xfId="0" applyFill="1" applyBorder="1" applyAlignment="1">
      <alignment horizontal="center" vertical="center"/>
    </xf>
    <xf numFmtId="0" fontId="0" fillId="2" borderId="28" xfId="0" applyFill="1" applyBorder="1" applyAlignment="1">
      <alignment horizontal="center" vertical="center"/>
    </xf>
    <xf numFmtId="164" fontId="1" fillId="3" borderId="29" xfId="0" applyNumberFormat="1" applyFont="1" applyFill="1" applyBorder="1" applyAlignment="1">
      <alignment horizontal="center" vertical="center"/>
    </xf>
    <xf numFmtId="164" fontId="1" fillId="3" borderId="11" xfId="0" applyNumberFormat="1" applyFont="1" applyFill="1" applyBorder="1" applyAlignment="1">
      <alignment horizontal="center" vertical="center"/>
    </xf>
    <xf numFmtId="164" fontId="1" fillId="3" borderId="34" xfId="0" applyNumberFormat="1" applyFont="1" applyFill="1" applyBorder="1" applyAlignment="1">
      <alignment horizontal="center" vertical="center"/>
    </xf>
    <xf numFmtId="0" fontId="4" fillId="4" borderId="10"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3" fillId="3" borderId="48"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49" xfId="0" applyFont="1" applyFill="1" applyBorder="1" applyAlignment="1">
      <alignment horizontal="center" vertical="center"/>
    </xf>
    <xf numFmtId="0" fontId="18" fillId="9" borderId="0" xfId="0" applyFont="1" applyFill="1" applyBorder="1" applyAlignment="1">
      <alignment horizontal="left" vertical="center"/>
    </xf>
    <xf numFmtId="0" fontId="0" fillId="0" borderId="0" xfId="0" applyAlignment="1">
      <alignment horizontal="left" vertical="center"/>
    </xf>
    <xf numFmtId="0" fontId="18" fillId="9" borderId="0" xfId="0" applyFont="1" applyFill="1" applyAlignment="1">
      <alignment horizontal="left" vertical="center"/>
    </xf>
    <xf numFmtId="0" fontId="18" fillId="9" borderId="0" xfId="0" applyFont="1" applyFill="1" applyAlignment="1">
      <alignment horizontal="left"/>
    </xf>
    <xf numFmtId="0" fontId="0" fillId="0" borderId="0" xfId="0" applyAlignment="1">
      <alignment horizontal="left" vertical="center" wrapText="1"/>
    </xf>
    <xf numFmtId="0" fontId="18" fillId="9" borderId="4" xfId="0" applyFont="1" applyFill="1" applyBorder="1" applyAlignment="1">
      <alignment horizontal="left" vertical="center"/>
    </xf>
    <xf numFmtId="0" fontId="5" fillId="0" borderId="51" xfId="0" applyFont="1" applyBorder="1" applyAlignment="1">
      <alignment horizontal="center" vertical="center"/>
    </xf>
    <xf numFmtId="0" fontId="5" fillId="0" borderId="13" xfId="0" applyFont="1" applyBorder="1" applyAlignment="1">
      <alignment horizontal="center" vertical="center"/>
    </xf>
    <xf numFmtId="0" fontId="5" fillId="0" borderId="55" xfId="0" applyFont="1" applyBorder="1" applyAlignment="1">
      <alignment horizontal="center" vertical="center"/>
    </xf>
    <xf numFmtId="0" fontId="18" fillId="9" borderId="4" xfId="0" applyFont="1" applyFill="1" applyBorder="1" applyAlignment="1">
      <alignment horizontal="left"/>
    </xf>
    <xf numFmtId="0" fontId="17" fillId="0" borderId="56" xfId="0" applyFont="1" applyBorder="1" applyAlignment="1">
      <alignment horizontal="center"/>
    </xf>
    <xf numFmtId="0" fontId="17" fillId="0" borderId="33" xfId="0" applyFont="1" applyBorder="1" applyAlignment="1">
      <alignment horizontal="center"/>
    </xf>
    <xf numFmtId="164" fontId="0" fillId="0" borderId="17" xfId="0" applyNumberFormat="1" applyBorder="1" applyAlignment="1">
      <alignment horizontal="center"/>
    </xf>
    <xf numFmtId="164" fontId="0" fillId="0" borderId="15" xfId="0" applyNumberFormat="1" applyBorder="1" applyAlignment="1">
      <alignment horizontal="center"/>
    </xf>
    <xf numFmtId="0" fontId="5" fillId="8" borderId="6" xfId="0" applyFont="1" applyFill="1" applyBorder="1" applyAlignment="1">
      <alignment horizontal="center"/>
    </xf>
    <xf numFmtId="0" fontId="5" fillId="8" borderId="7" xfId="0" applyFont="1" applyFill="1" applyBorder="1" applyAlignment="1">
      <alignment horizontal="center"/>
    </xf>
    <xf numFmtId="0" fontId="5" fillId="8" borderId="3" xfId="0" applyFont="1" applyFill="1" applyBorder="1" applyAlignment="1">
      <alignment horizontal="center"/>
    </xf>
  </cellXfs>
  <cellStyles count="2">
    <cellStyle name="Komma" xfId="1" builtinId="3"/>
    <cellStyle name="Standaard" xfId="0" builtinId="0"/>
  </cellStyles>
  <dxfs count="0"/>
  <tableStyles count="0" defaultTableStyle="TableStyleMedium2" defaultPivotStyle="PivotStyleLight16"/>
  <colors>
    <mruColors>
      <color rgb="FFFFC819"/>
      <color rgb="FF0D7117"/>
      <color rgb="FF6600FF"/>
      <color rgb="FF993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a:t>Uitgaven - inkomsten = opbrengsten</a:t>
            </a:r>
          </a:p>
        </c:rich>
      </c:tx>
      <c:overlay val="0"/>
    </c:title>
    <c:autoTitleDeleted val="0"/>
    <c:plotArea>
      <c:layout/>
      <c:barChart>
        <c:barDir val="col"/>
        <c:grouping val="clustered"/>
        <c:varyColors val="0"/>
        <c:ser>
          <c:idx val="0"/>
          <c:order val="0"/>
          <c:tx>
            <c:strRef>
              <c:f>'Algemeen en kostprijzen'!$E$90</c:f>
              <c:strCache>
                <c:ptCount val="1"/>
                <c:pt idx="0">
                  <c:v>Totaal kosten</c:v>
                </c:pt>
              </c:strCache>
            </c:strRef>
          </c:tx>
          <c:spPr>
            <a:solidFill>
              <a:schemeClr val="accent3">
                <a:lumMod val="50000"/>
              </a:schemeClr>
            </a:solidFill>
          </c:spPr>
          <c:invertIfNegative val="0"/>
          <c:cat>
            <c:strRef>
              <c:f>'Algemeen en kostprijzen'!$A$91:$A$93</c:f>
              <c:strCache>
                <c:ptCount val="3"/>
                <c:pt idx="0">
                  <c:v>Werkhout</c:v>
                </c:pt>
                <c:pt idx="1">
                  <c:v>Industriehout</c:v>
                </c:pt>
                <c:pt idx="2">
                  <c:v>Tak- en tophout</c:v>
                </c:pt>
              </c:strCache>
            </c:strRef>
          </c:cat>
          <c:val>
            <c:numRef>
              <c:f>'Algemeen en kostprijzen'!$E$91:$E$93</c:f>
              <c:numCache>
                <c:formatCode>"€"#,##0.00_);[Red]\("€"#,##0.00\)</c:formatCode>
                <c:ptCount val="3"/>
                <c:pt idx="0">
                  <c:v>0</c:v>
                </c:pt>
                <c:pt idx="1">
                  <c:v>0</c:v>
                </c:pt>
                <c:pt idx="2">
                  <c:v>0</c:v>
                </c:pt>
              </c:numCache>
            </c:numRef>
          </c:val>
        </c:ser>
        <c:ser>
          <c:idx val="1"/>
          <c:order val="1"/>
          <c:tx>
            <c:strRef>
              <c:f>'Algemeen en kostprijzen'!$F$90</c:f>
              <c:strCache>
                <c:ptCount val="1"/>
                <c:pt idx="0">
                  <c:v>Verkoop hout</c:v>
                </c:pt>
              </c:strCache>
            </c:strRef>
          </c:tx>
          <c:spPr>
            <a:solidFill>
              <a:srgbClr val="FFC000"/>
            </a:solidFill>
          </c:spPr>
          <c:invertIfNegative val="0"/>
          <c:cat>
            <c:strRef>
              <c:f>'Algemeen en kostprijzen'!$A$91:$A$93</c:f>
              <c:strCache>
                <c:ptCount val="3"/>
                <c:pt idx="0">
                  <c:v>Werkhout</c:v>
                </c:pt>
                <c:pt idx="1">
                  <c:v>Industriehout</c:v>
                </c:pt>
                <c:pt idx="2">
                  <c:v>Tak- en tophout</c:v>
                </c:pt>
              </c:strCache>
            </c:strRef>
          </c:cat>
          <c:val>
            <c:numRef>
              <c:f>'Algemeen en kostprijzen'!$F$91:$F$93</c:f>
              <c:numCache>
                <c:formatCode>"€"\ #,##0.00</c:formatCode>
                <c:ptCount val="3"/>
                <c:pt idx="0">
                  <c:v>0</c:v>
                </c:pt>
                <c:pt idx="1">
                  <c:v>0</c:v>
                </c:pt>
                <c:pt idx="2">
                  <c:v>0</c:v>
                </c:pt>
              </c:numCache>
            </c:numRef>
          </c:val>
        </c:ser>
        <c:ser>
          <c:idx val="2"/>
          <c:order val="2"/>
          <c:tx>
            <c:strRef>
              <c:f>'Algemeen en kostprijzen'!$G$90</c:f>
              <c:strCache>
                <c:ptCount val="1"/>
                <c:pt idx="0">
                  <c:v>Netto opbrengsten</c:v>
                </c:pt>
              </c:strCache>
            </c:strRef>
          </c:tx>
          <c:spPr>
            <a:solidFill>
              <a:schemeClr val="accent6">
                <a:lumMod val="50000"/>
              </a:schemeClr>
            </a:solidFill>
          </c:spPr>
          <c:invertIfNegative val="0"/>
          <c:cat>
            <c:strRef>
              <c:f>'Algemeen en kostprijzen'!$A$91:$A$93</c:f>
              <c:strCache>
                <c:ptCount val="3"/>
                <c:pt idx="0">
                  <c:v>Werkhout</c:v>
                </c:pt>
                <c:pt idx="1">
                  <c:v>Industriehout</c:v>
                </c:pt>
                <c:pt idx="2">
                  <c:v>Tak- en tophout</c:v>
                </c:pt>
              </c:strCache>
            </c:strRef>
          </c:cat>
          <c:val>
            <c:numRef>
              <c:f>'Algemeen en kostprijzen'!$G$91:$G$93</c:f>
              <c:numCache>
                <c:formatCode>"€"#,##0.00_);[Red]\("€"#,##0.00\)</c:formatCode>
                <c:ptCount val="3"/>
                <c:pt idx="0">
                  <c:v>0</c:v>
                </c:pt>
                <c:pt idx="1">
                  <c:v>0</c:v>
                </c:pt>
                <c:pt idx="2">
                  <c:v>0</c:v>
                </c:pt>
              </c:numCache>
            </c:numRef>
          </c:val>
        </c:ser>
        <c:dLbls>
          <c:showLegendKey val="0"/>
          <c:showVal val="0"/>
          <c:showCatName val="0"/>
          <c:showSerName val="0"/>
          <c:showPercent val="0"/>
          <c:showBubbleSize val="0"/>
        </c:dLbls>
        <c:gapWidth val="150"/>
        <c:axId val="100150656"/>
        <c:axId val="100156544"/>
      </c:barChart>
      <c:catAx>
        <c:axId val="100150656"/>
        <c:scaling>
          <c:orientation val="minMax"/>
        </c:scaling>
        <c:delete val="0"/>
        <c:axPos val="b"/>
        <c:numFmt formatCode="General" sourceLinked="0"/>
        <c:majorTickMark val="none"/>
        <c:minorTickMark val="none"/>
        <c:tickLblPos val="nextTo"/>
        <c:spPr>
          <a:noFill/>
          <a:ln w="28575">
            <a:solidFill>
              <a:schemeClr val="tx1"/>
            </a:solidFill>
          </a:ln>
        </c:spPr>
        <c:txPr>
          <a:bodyPr/>
          <a:lstStyle/>
          <a:p>
            <a:pPr>
              <a:defRPr sz="1200"/>
            </a:pPr>
            <a:endParaRPr lang="nl-BE"/>
          </a:p>
        </c:txPr>
        <c:crossAx val="100156544"/>
        <c:crosses val="autoZero"/>
        <c:auto val="1"/>
        <c:lblAlgn val="ctr"/>
        <c:lblOffset val="100"/>
        <c:noMultiLvlLbl val="0"/>
      </c:catAx>
      <c:valAx>
        <c:axId val="100156544"/>
        <c:scaling>
          <c:orientation val="minMax"/>
        </c:scaling>
        <c:delete val="0"/>
        <c:axPos val="l"/>
        <c:majorGridlines/>
        <c:numFmt formatCode="&quot;€&quot;#,##0.00_);[Red]\(&quot;€&quot;#,##0.00\)" sourceLinked="1"/>
        <c:majorTickMark val="none"/>
        <c:minorTickMark val="none"/>
        <c:tickLblPos val="nextTo"/>
        <c:crossAx val="100150656"/>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nl-BE"/>
              <a:t>Overzicht kosten</a:t>
            </a:r>
          </a:p>
          <a:p>
            <a:pPr>
              <a:defRPr/>
            </a:pPr>
            <a:endParaRPr lang="nl-BE"/>
          </a:p>
        </c:rich>
      </c:tx>
      <c:overlay val="0"/>
    </c:title>
    <c:autoTitleDeleted val="0"/>
    <c:plotArea>
      <c:layout>
        <c:manualLayout>
          <c:layoutTarget val="inner"/>
          <c:xMode val="edge"/>
          <c:yMode val="edge"/>
          <c:x val="0.20462366446618416"/>
          <c:y val="0.16720128564768008"/>
          <c:w val="0.77068497750912446"/>
          <c:h val="0.54271720841577364"/>
        </c:manualLayout>
      </c:layout>
      <c:barChart>
        <c:barDir val="col"/>
        <c:grouping val="clustered"/>
        <c:varyColors val="0"/>
        <c:ser>
          <c:idx val="0"/>
          <c:order val="0"/>
          <c:tx>
            <c:strRef>
              <c:f>'Algemeen en kostprijzen'!$B$90</c:f>
              <c:strCache>
                <c:ptCount val="1"/>
                <c:pt idx="0">
                  <c:v>Aankoop hout</c:v>
                </c:pt>
              </c:strCache>
            </c:strRef>
          </c:tx>
          <c:invertIfNegative val="0"/>
          <c:cat>
            <c:strRef>
              <c:f>'Algemeen en kostprijzen'!$A$91:$A$93</c:f>
              <c:strCache>
                <c:ptCount val="3"/>
                <c:pt idx="0">
                  <c:v>Werkhout</c:v>
                </c:pt>
                <c:pt idx="1">
                  <c:v>Industriehout</c:v>
                </c:pt>
                <c:pt idx="2">
                  <c:v>Tak- en tophout</c:v>
                </c:pt>
              </c:strCache>
            </c:strRef>
          </c:cat>
          <c:val>
            <c:numRef>
              <c:f>'Algemeen en kostprijzen'!$B$91:$B$93</c:f>
              <c:numCache>
                <c:formatCode>"€"#,##0.00_);[Red]\("€"#,##0.00\)</c:formatCode>
                <c:ptCount val="3"/>
                <c:pt idx="0">
                  <c:v>0</c:v>
                </c:pt>
                <c:pt idx="1">
                  <c:v>0</c:v>
                </c:pt>
                <c:pt idx="2">
                  <c:v>0</c:v>
                </c:pt>
              </c:numCache>
            </c:numRef>
          </c:val>
        </c:ser>
        <c:ser>
          <c:idx val="1"/>
          <c:order val="1"/>
          <c:tx>
            <c:strRef>
              <c:f>'Algemeen en kostprijzen'!$C$90</c:f>
              <c:strCache>
                <c:ptCount val="1"/>
                <c:pt idx="0">
                  <c:v>Exploitatiekost</c:v>
                </c:pt>
              </c:strCache>
            </c:strRef>
          </c:tx>
          <c:invertIfNegative val="0"/>
          <c:cat>
            <c:strRef>
              <c:f>'Algemeen en kostprijzen'!$A$91:$A$93</c:f>
              <c:strCache>
                <c:ptCount val="3"/>
                <c:pt idx="0">
                  <c:v>Werkhout</c:v>
                </c:pt>
                <c:pt idx="1">
                  <c:v>Industriehout</c:v>
                </c:pt>
                <c:pt idx="2">
                  <c:v>Tak- en tophout</c:v>
                </c:pt>
              </c:strCache>
            </c:strRef>
          </c:cat>
          <c:val>
            <c:numRef>
              <c:f>'Algemeen en kostprijzen'!$C$91:$C$93</c:f>
              <c:numCache>
                <c:formatCode>"€"#,##0.00_);[Red]\("€"#,##0.00\)</c:formatCode>
                <c:ptCount val="3"/>
                <c:pt idx="0">
                  <c:v>0</c:v>
                </c:pt>
                <c:pt idx="1">
                  <c:v>0</c:v>
                </c:pt>
                <c:pt idx="2">
                  <c:v>0</c:v>
                </c:pt>
              </c:numCache>
            </c:numRef>
          </c:val>
        </c:ser>
        <c:ser>
          <c:idx val="2"/>
          <c:order val="2"/>
          <c:tx>
            <c:strRef>
              <c:f>'Algemeen en kostprijzen'!$D$90</c:f>
              <c:strCache>
                <c:ptCount val="1"/>
                <c:pt idx="0">
                  <c:v>Transportkost</c:v>
                </c:pt>
              </c:strCache>
            </c:strRef>
          </c:tx>
          <c:invertIfNegative val="0"/>
          <c:cat>
            <c:strRef>
              <c:f>'Algemeen en kostprijzen'!$A$91:$A$93</c:f>
              <c:strCache>
                <c:ptCount val="3"/>
                <c:pt idx="0">
                  <c:v>Werkhout</c:v>
                </c:pt>
                <c:pt idx="1">
                  <c:v>Industriehout</c:v>
                </c:pt>
                <c:pt idx="2">
                  <c:v>Tak- en tophout</c:v>
                </c:pt>
              </c:strCache>
            </c:strRef>
          </c:cat>
          <c:val>
            <c:numRef>
              <c:f>'Algemeen en kostprijzen'!$D$91:$D$93</c:f>
              <c:numCache>
                <c:formatCode>"€"#,##0.00_);[Red]\("€"#,##0.00\)</c:formatCode>
                <c:ptCount val="3"/>
                <c:pt idx="0">
                  <c:v>0</c:v>
                </c:pt>
                <c:pt idx="1">
                  <c:v>0</c:v>
                </c:pt>
                <c:pt idx="2">
                  <c:v>0</c:v>
                </c:pt>
              </c:numCache>
            </c:numRef>
          </c:val>
        </c:ser>
        <c:dLbls>
          <c:showLegendKey val="0"/>
          <c:showVal val="0"/>
          <c:showCatName val="0"/>
          <c:showSerName val="0"/>
          <c:showPercent val="0"/>
          <c:showBubbleSize val="0"/>
        </c:dLbls>
        <c:gapWidth val="150"/>
        <c:axId val="133300224"/>
        <c:axId val="133301760"/>
      </c:barChart>
      <c:catAx>
        <c:axId val="133300224"/>
        <c:scaling>
          <c:orientation val="minMax"/>
        </c:scaling>
        <c:delete val="0"/>
        <c:axPos val="b"/>
        <c:numFmt formatCode="General" sourceLinked="0"/>
        <c:majorTickMark val="none"/>
        <c:minorTickMark val="none"/>
        <c:tickLblPos val="nextTo"/>
        <c:spPr>
          <a:ln w="28575">
            <a:solidFill>
              <a:schemeClr val="tx1"/>
            </a:solidFill>
          </a:ln>
        </c:spPr>
        <c:crossAx val="133301760"/>
        <c:crosses val="autoZero"/>
        <c:auto val="1"/>
        <c:lblAlgn val="ctr"/>
        <c:lblOffset val="100"/>
        <c:noMultiLvlLbl val="0"/>
      </c:catAx>
      <c:valAx>
        <c:axId val="133301760"/>
        <c:scaling>
          <c:orientation val="minMax"/>
        </c:scaling>
        <c:delete val="0"/>
        <c:axPos val="l"/>
        <c:majorGridlines/>
        <c:numFmt formatCode="&quot;€&quot;#,##0.00_);[Red]\(&quot;€&quot;#,##0.00\)" sourceLinked="1"/>
        <c:majorTickMark val="none"/>
        <c:minorTickMark val="none"/>
        <c:tickLblPos val="nextTo"/>
        <c:crossAx val="133300224"/>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a:t>Volumeverdeling (m³)</a:t>
            </a:r>
          </a:p>
        </c:rich>
      </c:tx>
      <c:layout>
        <c:manualLayout>
          <c:xMode val="edge"/>
          <c:yMode val="edge"/>
          <c:x val="0.14973592443376108"/>
          <c:y val="2.8679167649316828E-2"/>
        </c:manualLayout>
      </c:layout>
      <c:overlay val="0"/>
    </c:title>
    <c:autoTitleDeleted val="0"/>
    <c:plotArea>
      <c:layout>
        <c:manualLayout>
          <c:layoutTarget val="inner"/>
          <c:xMode val="edge"/>
          <c:yMode val="edge"/>
          <c:x val="0.14437769989010019"/>
          <c:y val="9.5798412097294616E-2"/>
          <c:w val="0.3591155732284908"/>
          <c:h val="0.86396076367322694"/>
        </c:manualLayout>
      </c:layout>
      <c:barChart>
        <c:barDir val="col"/>
        <c:grouping val="percentStacked"/>
        <c:varyColors val="0"/>
        <c:ser>
          <c:idx val="0"/>
          <c:order val="0"/>
          <c:tx>
            <c:strRef>
              <c:f>Volumebepaling!$B$49</c:f>
              <c:strCache>
                <c:ptCount val="1"/>
                <c:pt idx="0">
                  <c:v>Werkhout</c:v>
                </c:pt>
              </c:strCache>
            </c:strRef>
          </c:tx>
          <c:invertIfNegative val="0"/>
          <c:dLbls>
            <c:spPr>
              <a:noFill/>
              <a:ln>
                <a:noFill/>
              </a:ln>
              <a:effectLst/>
            </c:spPr>
            <c:txPr>
              <a:bodyPr/>
              <a:lstStyle/>
              <a:p>
                <a:pPr>
                  <a:defRPr b="1">
                    <a:solidFill>
                      <a:schemeClr val="bg1"/>
                    </a:solidFill>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Volumebepaling!$C$49</c:f>
              <c:numCache>
                <c:formatCode>0.00</c:formatCode>
                <c:ptCount val="1"/>
                <c:pt idx="0">
                  <c:v>0</c:v>
                </c:pt>
              </c:numCache>
            </c:numRef>
          </c:val>
        </c:ser>
        <c:ser>
          <c:idx val="1"/>
          <c:order val="1"/>
          <c:tx>
            <c:strRef>
              <c:f>Volumebepaling!$B$50</c:f>
              <c:strCache>
                <c:ptCount val="1"/>
                <c:pt idx="0">
                  <c:v>Industriehout</c:v>
                </c:pt>
              </c:strCache>
            </c:strRef>
          </c:tx>
          <c:invertIfNegative val="0"/>
          <c:dLbls>
            <c:dLbl>
              <c:idx val="0"/>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chemeClr val="bg1"/>
                    </a:solidFill>
                  </a:defRPr>
                </a:pPr>
                <a:endParaRPr lang="nl-BE"/>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Volumebepaling!$C$50</c:f>
              <c:numCache>
                <c:formatCode>0.00</c:formatCode>
                <c:ptCount val="1"/>
                <c:pt idx="0">
                  <c:v>0</c:v>
                </c:pt>
              </c:numCache>
            </c:numRef>
          </c:val>
        </c:ser>
        <c:ser>
          <c:idx val="2"/>
          <c:order val="2"/>
          <c:tx>
            <c:strRef>
              <c:f>Volumebepaling!$B$51</c:f>
              <c:strCache>
                <c:ptCount val="1"/>
                <c:pt idx="0">
                  <c:v>Tak- en tophout</c:v>
                </c:pt>
              </c:strCache>
            </c:strRef>
          </c:tx>
          <c:invertIfNegative val="0"/>
          <c:dLbls>
            <c:spPr>
              <a:noFill/>
              <a:ln>
                <a:noFill/>
              </a:ln>
              <a:effectLst/>
            </c:spPr>
            <c:txPr>
              <a:bodyPr/>
              <a:lstStyle/>
              <a:p>
                <a:pPr>
                  <a:defRPr>
                    <a:solidFill>
                      <a:schemeClr val="bg1"/>
                    </a:solidFill>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Volumebepaling!$C$51</c:f>
              <c:numCache>
                <c:formatCode>0.00</c:formatCode>
                <c:ptCount val="1"/>
                <c:pt idx="0">
                  <c:v>0</c:v>
                </c:pt>
              </c:numCache>
            </c:numRef>
          </c:val>
        </c:ser>
        <c:ser>
          <c:idx val="3"/>
          <c:order val="3"/>
          <c:tx>
            <c:strRef>
              <c:f>Volumebepaling!$B$52</c:f>
              <c:strCache>
                <c:ptCount val="1"/>
                <c:pt idx="0">
                  <c:v>Return to nature</c:v>
                </c:pt>
              </c:strCache>
            </c:strRef>
          </c:tx>
          <c:invertIfNegative val="0"/>
          <c:dLbls>
            <c:spPr>
              <a:noFill/>
              <a:ln>
                <a:noFill/>
              </a:ln>
              <a:effectLst/>
            </c:spPr>
            <c:txPr>
              <a:bodyPr/>
              <a:lstStyle/>
              <a:p>
                <a:pPr>
                  <a:defRPr b="1">
                    <a:solidFill>
                      <a:schemeClr val="bg1"/>
                    </a:solidFill>
                  </a:defRPr>
                </a:pPr>
                <a:endParaRPr lang="nl-B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Volumebepaling!$C$52</c:f>
              <c:numCache>
                <c:formatCode>0.00</c:formatCode>
                <c:ptCount val="1"/>
                <c:pt idx="0">
                  <c:v>0</c:v>
                </c:pt>
              </c:numCache>
            </c:numRef>
          </c:val>
        </c:ser>
        <c:dLbls>
          <c:showLegendKey val="0"/>
          <c:showVal val="0"/>
          <c:showCatName val="0"/>
          <c:showSerName val="0"/>
          <c:showPercent val="0"/>
          <c:showBubbleSize val="0"/>
        </c:dLbls>
        <c:gapWidth val="150"/>
        <c:overlap val="100"/>
        <c:axId val="134067712"/>
        <c:axId val="134069248"/>
      </c:barChart>
      <c:catAx>
        <c:axId val="134067712"/>
        <c:scaling>
          <c:orientation val="minMax"/>
        </c:scaling>
        <c:delete val="1"/>
        <c:axPos val="b"/>
        <c:majorTickMark val="out"/>
        <c:minorTickMark val="none"/>
        <c:tickLblPos val="nextTo"/>
        <c:crossAx val="134069248"/>
        <c:crosses val="autoZero"/>
        <c:auto val="1"/>
        <c:lblAlgn val="ctr"/>
        <c:lblOffset val="100"/>
        <c:noMultiLvlLbl val="0"/>
      </c:catAx>
      <c:valAx>
        <c:axId val="134069248"/>
        <c:scaling>
          <c:orientation val="minMax"/>
        </c:scaling>
        <c:delete val="0"/>
        <c:axPos val="l"/>
        <c:minorGridlines/>
        <c:numFmt formatCode="0%" sourceLinked="1"/>
        <c:majorTickMark val="out"/>
        <c:minorTickMark val="none"/>
        <c:tickLblPos val="nextTo"/>
        <c:crossAx val="134067712"/>
        <c:crosses val="autoZero"/>
        <c:crossBetween val="between"/>
      </c:valAx>
    </c:plotArea>
    <c:legend>
      <c:legendPos val="r"/>
      <c:layout>
        <c:manualLayout>
          <c:xMode val="edge"/>
          <c:yMode val="edge"/>
          <c:x val="0.5364294187871731"/>
          <c:y val="0.58359539842220265"/>
          <c:w val="0.44646283415768268"/>
          <c:h val="0.34034728240844536"/>
        </c:manualLayout>
      </c:layout>
      <c:overlay val="0"/>
      <c:txPr>
        <a:bodyPr/>
        <a:lstStyle/>
        <a:p>
          <a:pPr>
            <a:defRPr sz="1200"/>
          </a:pPr>
          <a:endParaRPr lang="nl-BE"/>
        </a:p>
      </c:txPr>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19" Type="http://schemas.openxmlformats.org/officeDocument/2006/relationships/image" Target="../media/image20.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13</xdr:col>
      <xdr:colOff>140498</xdr:colOff>
      <xdr:row>0</xdr:row>
      <xdr:rowOff>76200</xdr:rowOff>
    </xdr:from>
    <xdr:to>
      <xdr:col>14</xdr:col>
      <xdr:colOff>785665</xdr:colOff>
      <xdr:row>1</xdr:row>
      <xdr:rowOff>218726</xdr:rowOff>
    </xdr:to>
    <xdr:pic>
      <xdr:nvPicPr>
        <xdr:cNvPr id="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41673" y="76200"/>
          <a:ext cx="1941624" cy="66534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7</xdr:col>
      <xdr:colOff>533399</xdr:colOff>
      <xdr:row>146</xdr:row>
      <xdr:rowOff>81715</xdr:rowOff>
    </xdr:from>
    <xdr:to>
      <xdr:col>14</xdr:col>
      <xdr:colOff>768016</xdr:colOff>
      <xdr:row>161</xdr:row>
      <xdr:rowOff>107157</xdr:rowOff>
    </xdr:to>
    <xdr:graphicFrame macro="">
      <xdr:nvGraphicFramePr>
        <xdr:cNvPr id="7" name="Grafiek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146</xdr:row>
      <xdr:rowOff>81713</xdr:rowOff>
    </xdr:from>
    <xdr:to>
      <xdr:col>7</xdr:col>
      <xdr:colOff>457199</xdr:colOff>
      <xdr:row>161</xdr:row>
      <xdr:rowOff>104775</xdr:rowOff>
    </xdr:to>
    <xdr:graphicFrame macro="">
      <xdr:nvGraphicFramePr>
        <xdr:cNvPr id="8" name="Grafiek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1777355</xdr:colOff>
      <xdr:row>44</xdr:row>
      <xdr:rowOff>20235</xdr:rowOff>
    </xdr:from>
    <xdr:to>
      <xdr:col>0</xdr:col>
      <xdr:colOff>2186931</xdr:colOff>
      <xdr:row>44</xdr:row>
      <xdr:rowOff>164494</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1777355" y="17427173"/>
          <a:ext cx="409576" cy="144259"/>
        </a:xfrm>
        <a:prstGeom prst="rect">
          <a:avLst/>
        </a:prstGeom>
      </xdr:spPr>
    </xdr:pic>
    <xdr:clientData/>
  </xdr:twoCellAnchor>
  <xdr:twoCellAnchor editAs="oneCell">
    <xdr:from>
      <xdr:col>0</xdr:col>
      <xdr:colOff>1862646</xdr:colOff>
      <xdr:row>59</xdr:row>
      <xdr:rowOff>15473</xdr:rowOff>
    </xdr:from>
    <xdr:to>
      <xdr:col>0</xdr:col>
      <xdr:colOff>2303140</xdr:colOff>
      <xdr:row>60</xdr:row>
      <xdr:rowOff>1</xdr:rowOff>
    </xdr:to>
    <xdr:pic>
      <xdr:nvPicPr>
        <xdr:cNvPr id="4" name="Afbeelding 3"/>
        <xdr:cNvPicPr>
          <a:picLocks noChangeAspect="1"/>
        </xdr:cNvPicPr>
      </xdr:nvPicPr>
      <xdr:blipFill>
        <a:blip xmlns:r="http://schemas.openxmlformats.org/officeDocument/2006/relationships" r:embed="rId2"/>
        <a:stretch>
          <a:fillRect/>
        </a:stretch>
      </xdr:blipFill>
      <xdr:spPr>
        <a:xfrm flipH="1">
          <a:off x="1862646" y="18994036"/>
          <a:ext cx="440494" cy="175028"/>
        </a:xfrm>
        <a:prstGeom prst="rect">
          <a:avLst/>
        </a:prstGeom>
      </xdr:spPr>
    </xdr:pic>
    <xdr:clientData/>
  </xdr:twoCellAnchor>
  <xdr:twoCellAnchor editAs="oneCell">
    <xdr:from>
      <xdr:col>0</xdr:col>
      <xdr:colOff>1802600</xdr:colOff>
      <xdr:row>49</xdr:row>
      <xdr:rowOff>10242</xdr:rowOff>
    </xdr:from>
    <xdr:to>
      <xdr:col>0</xdr:col>
      <xdr:colOff>2243094</xdr:colOff>
      <xdr:row>49</xdr:row>
      <xdr:rowOff>184149</xdr:rowOff>
    </xdr:to>
    <xdr:pic>
      <xdr:nvPicPr>
        <xdr:cNvPr id="6" name="Afbeelding 5"/>
        <xdr:cNvPicPr>
          <a:picLocks noChangeAspect="1"/>
        </xdr:cNvPicPr>
      </xdr:nvPicPr>
      <xdr:blipFill>
        <a:blip xmlns:r="http://schemas.openxmlformats.org/officeDocument/2006/relationships" r:embed="rId2"/>
        <a:stretch>
          <a:fillRect/>
        </a:stretch>
      </xdr:blipFill>
      <xdr:spPr>
        <a:xfrm flipH="1">
          <a:off x="1802600" y="18381586"/>
          <a:ext cx="440494" cy="173907"/>
        </a:xfrm>
        <a:prstGeom prst="rect">
          <a:avLst/>
        </a:prstGeom>
      </xdr:spPr>
    </xdr:pic>
    <xdr:clientData/>
  </xdr:twoCellAnchor>
  <xdr:twoCellAnchor editAs="oneCell">
    <xdr:from>
      <xdr:col>0</xdr:col>
      <xdr:colOff>1783066</xdr:colOff>
      <xdr:row>41</xdr:row>
      <xdr:rowOff>189270</xdr:rowOff>
    </xdr:from>
    <xdr:to>
      <xdr:col>0</xdr:col>
      <xdr:colOff>2165047</xdr:colOff>
      <xdr:row>42</xdr:row>
      <xdr:rowOff>169069</xdr:rowOff>
    </xdr:to>
    <xdr:pic>
      <xdr:nvPicPr>
        <xdr:cNvPr id="7" name="Afbeelding 6"/>
        <xdr:cNvPicPr>
          <a:picLocks noChangeAspect="1"/>
        </xdr:cNvPicPr>
      </xdr:nvPicPr>
      <xdr:blipFill>
        <a:blip xmlns:r="http://schemas.openxmlformats.org/officeDocument/2006/relationships" r:embed="rId3"/>
        <a:stretch>
          <a:fillRect/>
        </a:stretch>
      </xdr:blipFill>
      <xdr:spPr>
        <a:xfrm flipH="1">
          <a:off x="1783066" y="17024708"/>
          <a:ext cx="381981" cy="170299"/>
        </a:xfrm>
        <a:prstGeom prst="rect">
          <a:avLst/>
        </a:prstGeom>
      </xdr:spPr>
    </xdr:pic>
    <xdr:clientData/>
  </xdr:twoCellAnchor>
  <xdr:twoCellAnchor>
    <xdr:from>
      <xdr:col>0</xdr:col>
      <xdr:colOff>1674016</xdr:colOff>
      <xdr:row>43</xdr:row>
      <xdr:rowOff>9526</xdr:rowOff>
    </xdr:from>
    <xdr:to>
      <xdr:col>0</xdr:col>
      <xdr:colOff>2369341</xdr:colOff>
      <xdr:row>43</xdr:row>
      <xdr:rowOff>162248</xdr:rowOff>
    </xdr:to>
    <xdr:grpSp>
      <xdr:nvGrpSpPr>
        <xdr:cNvPr id="8" name="Groep 7"/>
        <xdr:cNvGrpSpPr/>
      </xdr:nvGrpSpPr>
      <xdr:grpSpPr>
        <a:xfrm>
          <a:off x="1674016" y="8096251"/>
          <a:ext cx="695325" cy="152722"/>
          <a:chOff x="6803342" y="3789041"/>
          <a:chExt cx="1153033" cy="286072"/>
        </a:xfrm>
      </xdr:grpSpPr>
      <xdr:pic>
        <xdr:nvPicPr>
          <xdr:cNvPr id="9" name="Picture 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03342" y="3789041"/>
            <a:ext cx="465819" cy="27278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pic>
        <xdr:nvPicPr>
          <xdr:cNvPr id="10" name="Picture 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flipH="1">
            <a:off x="7269160" y="3789041"/>
            <a:ext cx="687215" cy="28607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grpSp>
    <xdr:clientData/>
  </xdr:twoCellAnchor>
  <xdr:twoCellAnchor editAs="oneCell">
    <xdr:from>
      <xdr:col>0</xdr:col>
      <xdr:colOff>1787384</xdr:colOff>
      <xdr:row>64</xdr:row>
      <xdr:rowOff>35719</xdr:rowOff>
    </xdr:from>
    <xdr:to>
      <xdr:col>0</xdr:col>
      <xdr:colOff>2294114</xdr:colOff>
      <xdr:row>65</xdr:row>
      <xdr:rowOff>16669</xdr:rowOff>
    </xdr:to>
    <xdr:pic>
      <xdr:nvPicPr>
        <xdr:cNvPr id="11" name="Afbeelding 10"/>
        <xdr:cNvPicPr>
          <a:picLocks noChangeAspect="1"/>
        </xdr:cNvPicPr>
      </xdr:nvPicPr>
      <xdr:blipFill>
        <a:blip xmlns:r="http://schemas.openxmlformats.org/officeDocument/2006/relationships" r:embed="rId6"/>
        <a:stretch>
          <a:fillRect/>
        </a:stretch>
      </xdr:blipFill>
      <xdr:spPr>
        <a:xfrm>
          <a:off x="1787384" y="19966782"/>
          <a:ext cx="506730" cy="171450"/>
        </a:xfrm>
        <a:prstGeom prst="rect">
          <a:avLst/>
        </a:prstGeom>
      </xdr:spPr>
    </xdr:pic>
    <xdr:clientData/>
  </xdr:twoCellAnchor>
  <xdr:twoCellAnchor editAs="oneCell">
    <xdr:from>
      <xdr:col>0</xdr:col>
      <xdr:colOff>1779763</xdr:colOff>
      <xdr:row>61</xdr:row>
      <xdr:rowOff>26266</xdr:rowOff>
    </xdr:from>
    <xdr:to>
      <xdr:col>0</xdr:col>
      <xdr:colOff>2294114</xdr:colOff>
      <xdr:row>61</xdr:row>
      <xdr:rowOff>182465</xdr:rowOff>
    </xdr:to>
    <xdr:pic>
      <xdr:nvPicPr>
        <xdr:cNvPr id="12" name="Afbeelding 11"/>
        <xdr:cNvPicPr>
          <a:picLocks noChangeAspect="1"/>
        </xdr:cNvPicPr>
      </xdr:nvPicPr>
      <xdr:blipFill>
        <a:blip xmlns:r="http://schemas.openxmlformats.org/officeDocument/2006/relationships" r:embed="rId7"/>
        <a:stretch>
          <a:fillRect/>
        </a:stretch>
      </xdr:blipFill>
      <xdr:spPr>
        <a:xfrm>
          <a:off x="1779763" y="19385829"/>
          <a:ext cx="514351" cy="156199"/>
        </a:xfrm>
        <a:prstGeom prst="rect">
          <a:avLst/>
        </a:prstGeom>
      </xdr:spPr>
    </xdr:pic>
    <xdr:clientData/>
  </xdr:twoCellAnchor>
  <xdr:twoCellAnchor editAs="oneCell">
    <xdr:from>
      <xdr:col>0</xdr:col>
      <xdr:colOff>1781427</xdr:colOff>
      <xdr:row>63</xdr:row>
      <xdr:rowOff>38172</xdr:rowOff>
    </xdr:from>
    <xdr:to>
      <xdr:col>0</xdr:col>
      <xdr:colOff>2295778</xdr:colOff>
      <xdr:row>64</xdr:row>
      <xdr:rowOff>3871</xdr:rowOff>
    </xdr:to>
    <xdr:pic>
      <xdr:nvPicPr>
        <xdr:cNvPr id="13" name="Afbeelding 12"/>
        <xdr:cNvPicPr>
          <a:picLocks noChangeAspect="1"/>
        </xdr:cNvPicPr>
      </xdr:nvPicPr>
      <xdr:blipFill>
        <a:blip xmlns:r="http://schemas.openxmlformats.org/officeDocument/2006/relationships" r:embed="rId7"/>
        <a:stretch>
          <a:fillRect/>
        </a:stretch>
      </xdr:blipFill>
      <xdr:spPr>
        <a:xfrm>
          <a:off x="1781427" y="19778735"/>
          <a:ext cx="514351" cy="156199"/>
        </a:xfrm>
        <a:prstGeom prst="rect">
          <a:avLst/>
        </a:prstGeom>
      </xdr:spPr>
    </xdr:pic>
    <xdr:clientData/>
  </xdr:twoCellAnchor>
  <xdr:twoCellAnchor editAs="oneCell">
    <xdr:from>
      <xdr:col>0</xdr:col>
      <xdr:colOff>1972645</xdr:colOff>
      <xdr:row>62</xdr:row>
      <xdr:rowOff>35718</xdr:rowOff>
    </xdr:from>
    <xdr:to>
      <xdr:col>0</xdr:col>
      <xdr:colOff>2302601</xdr:colOff>
      <xdr:row>63</xdr:row>
      <xdr:rowOff>11270</xdr:rowOff>
    </xdr:to>
    <xdr:pic>
      <xdr:nvPicPr>
        <xdr:cNvPr id="15" name="Afbeelding 14"/>
        <xdr:cNvPicPr>
          <a:picLocks noChangeAspect="1"/>
        </xdr:cNvPicPr>
      </xdr:nvPicPr>
      <xdr:blipFill>
        <a:blip xmlns:r="http://schemas.openxmlformats.org/officeDocument/2006/relationships" r:embed="rId8"/>
        <a:stretch>
          <a:fillRect/>
        </a:stretch>
      </xdr:blipFill>
      <xdr:spPr>
        <a:xfrm>
          <a:off x="1972645" y="11822906"/>
          <a:ext cx="329956" cy="166052"/>
        </a:xfrm>
        <a:prstGeom prst="rect">
          <a:avLst/>
        </a:prstGeom>
      </xdr:spPr>
    </xdr:pic>
    <xdr:clientData/>
  </xdr:twoCellAnchor>
  <xdr:twoCellAnchor editAs="oneCell">
    <xdr:from>
      <xdr:col>0</xdr:col>
      <xdr:colOff>1762121</xdr:colOff>
      <xdr:row>27</xdr:row>
      <xdr:rowOff>183347</xdr:rowOff>
    </xdr:from>
    <xdr:to>
      <xdr:col>0</xdr:col>
      <xdr:colOff>2119095</xdr:colOff>
      <xdr:row>29</xdr:row>
      <xdr:rowOff>19051</xdr:rowOff>
    </xdr:to>
    <xdr:pic>
      <xdr:nvPicPr>
        <xdr:cNvPr id="16" name="Afbeelding 15"/>
        <xdr:cNvPicPr>
          <a:picLocks noChangeAspect="1"/>
        </xdr:cNvPicPr>
      </xdr:nvPicPr>
      <xdr:blipFill>
        <a:blip xmlns:r="http://schemas.openxmlformats.org/officeDocument/2006/relationships" r:embed="rId9"/>
        <a:stretch>
          <a:fillRect/>
        </a:stretch>
      </xdr:blipFill>
      <xdr:spPr>
        <a:xfrm>
          <a:off x="1762121" y="14708972"/>
          <a:ext cx="356974" cy="216704"/>
        </a:xfrm>
        <a:prstGeom prst="rect">
          <a:avLst/>
        </a:prstGeom>
      </xdr:spPr>
    </xdr:pic>
    <xdr:clientData/>
  </xdr:twoCellAnchor>
  <xdr:twoCellAnchor editAs="oneCell">
    <xdr:from>
      <xdr:col>0</xdr:col>
      <xdr:colOff>1833557</xdr:colOff>
      <xdr:row>36</xdr:row>
      <xdr:rowOff>142875</xdr:rowOff>
    </xdr:from>
    <xdr:to>
      <xdr:col>0</xdr:col>
      <xdr:colOff>2207846</xdr:colOff>
      <xdr:row>37</xdr:row>
      <xdr:rowOff>171450</xdr:rowOff>
    </xdr:to>
    <xdr:pic>
      <xdr:nvPicPr>
        <xdr:cNvPr id="27" name="Afbeelding 26"/>
        <xdr:cNvPicPr>
          <a:picLocks noChangeAspect="1"/>
        </xdr:cNvPicPr>
      </xdr:nvPicPr>
      <xdr:blipFill>
        <a:blip xmlns:r="http://schemas.openxmlformats.org/officeDocument/2006/relationships" r:embed="rId10"/>
        <a:stretch>
          <a:fillRect/>
        </a:stretch>
      </xdr:blipFill>
      <xdr:spPr>
        <a:xfrm>
          <a:off x="1833557" y="16013906"/>
          <a:ext cx="374289" cy="219075"/>
        </a:xfrm>
        <a:prstGeom prst="rect">
          <a:avLst/>
        </a:prstGeom>
      </xdr:spPr>
    </xdr:pic>
    <xdr:clientData/>
  </xdr:twoCellAnchor>
  <xdr:twoCellAnchor editAs="oneCell">
    <xdr:from>
      <xdr:col>0</xdr:col>
      <xdr:colOff>1817189</xdr:colOff>
      <xdr:row>37</xdr:row>
      <xdr:rowOff>180974</xdr:rowOff>
    </xdr:from>
    <xdr:to>
      <xdr:col>0</xdr:col>
      <xdr:colOff>2233300</xdr:colOff>
      <xdr:row>39</xdr:row>
      <xdr:rowOff>2772</xdr:rowOff>
    </xdr:to>
    <xdr:pic>
      <xdr:nvPicPr>
        <xdr:cNvPr id="28" name="Afbeelding 27"/>
        <xdr:cNvPicPr>
          <a:picLocks noChangeAspect="1"/>
        </xdr:cNvPicPr>
      </xdr:nvPicPr>
      <xdr:blipFill>
        <a:blip xmlns:r="http://schemas.openxmlformats.org/officeDocument/2006/relationships" r:embed="rId11"/>
        <a:stretch>
          <a:fillRect/>
        </a:stretch>
      </xdr:blipFill>
      <xdr:spPr>
        <a:xfrm flipH="1">
          <a:off x="1817189" y="16242505"/>
          <a:ext cx="416111" cy="202798"/>
        </a:xfrm>
        <a:prstGeom prst="rect">
          <a:avLst/>
        </a:prstGeom>
      </xdr:spPr>
    </xdr:pic>
    <xdr:clientData/>
  </xdr:twoCellAnchor>
  <xdr:twoCellAnchor editAs="oneCell">
    <xdr:from>
      <xdr:col>0</xdr:col>
      <xdr:colOff>1589878</xdr:colOff>
      <xdr:row>55</xdr:row>
      <xdr:rowOff>19049</xdr:rowOff>
    </xdr:from>
    <xdr:to>
      <xdr:col>0</xdr:col>
      <xdr:colOff>2171700</xdr:colOff>
      <xdr:row>56</xdr:row>
      <xdr:rowOff>11894</xdr:rowOff>
    </xdr:to>
    <xdr:pic>
      <xdr:nvPicPr>
        <xdr:cNvPr id="29" name="Afbeelding 28"/>
        <xdr:cNvPicPr>
          <a:picLocks noChangeAspect="1"/>
        </xdr:cNvPicPr>
      </xdr:nvPicPr>
      <xdr:blipFill>
        <a:blip xmlns:r="http://schemas.openxmlformats.org/officeDocument/2006/relationships" r:embed="rId12"/>
        <a:stretch>
          <a:fillRect/>
        </a:stretch>
      </xdr:blipFill>
      <xdr:spPr>
        <a:xfrm>
          <a:off x="1589878" y="17087849"/>
          <a:ext cx="581822" cy="192153"/>
        </a:xfrm>
        <a:prstGeom prst="rect">
          <a:avLst/>
        </a:prstGeom>
      </xdr:spPr>
    </xdr:pic>
    <xdr:clientData/>
  </xdr:twoCellAnchor>
  <xdr:twoCellAnchor editAs="oneCell">
    <xdr:from>
      <xdr:col>0</xdr:col>
      <xdr:colOff>1857376</xdr:colOff>
      <xdr:row>52</xdr:row>
      <xdr:rowOff>26195</xdr:rowOff>
    </xdr:from>
    <xdr:to>
      <xdr:col>0</xdr:col>
      <xdr:colOff>2162176</xdr:colOff>
      <xdr:row>52</xdr:row>
      <xdr:rowOff>184334</xdr:rowOff>
    </xdr:to>
    <xdr:pic>
      <xdr:nvPicPr>
        <xdr:cNvPr id="30" name="Afbeelding 29"/>
        <xdr:cNvPicPr>
          <a:picLocks noChangeAspect="1"/>
        </xdr:cNvPicPr>
      </xdr:nvPicPr>
      <xdr:blipFill>
        <a:blip xmlns:r="http://schemas.openxmlformats.org/officeDocument/2006/relationships" r:embed="rId13"/>
        <a:stretch>
          <a:fillRect/>
        </a:stretch>
      </xdr:blipFill>
      <xdr:spPr>
        <a:xfrm>
          <a:off x="1857376" y="9872664"/>
          <a:ext cx="304800" cy="158139"/>
        </a:xfrm>
        <a:prstGeom prst="rect">
          <a:avLst/>
        </a:prstGeom>
      </xdr:spPr>
    </xdr:pic>
    <xdr:clientData/>
  </xdr:twoCellAnchor>
  <xdr:twoCellAnchor editAs="oneCell">
    <xdr:from>
      <xdr:col>0</xdr:col>
      <xdr:colOff>1562101</xdr:colOff>
      <xdr:row>53</xdr:row>
      <xdr:rowOff>16670</xdr:rowOff>
    </xdr:from>
    <xdr:to>
      <xdr:col>0</xdr:col>
      <xdr:colOff>2162175</xdr:colOff>
      <xdr:row>54</xdr:row>
      <xdr:rowOff>835</xdr:rowOff>
    </xdr:to>
    <xdr:pic>
      <xdr:nvPicPr>
        <xdr:cNvPr id="32" name="Afbeelding 31"/>
        <xdr:cNvPicPr>
          <a:picLocks noChangeAspect="1"/>
        </xdr:cNvPicPr>
      </xdr:nvPicPr>
      <xdr:blipFill>
        <a:blip xmlns:r="http://schemas.openxmlformats.org/officeDocument/2006/relationships" r:embed="rId14"/>
        <a:stretch>
          <a:fillRect/>
        </a:stretch>
      </xdr:blipFill>
      <xdr:spPr>
        <a:xfrm>
          <a:off x="1562101" y="10053639"/>
          <a:ext cx="600074" cy="174665"/>
        </a:xfrm>
        <a:prstGeom prst="rect">
          <a:avLst/>
        </a:prstGeom>
      </xdr:spPr>
    </xdr:pic>
    <xdr:clientData/>
  </xdr:twoCellAnchor>
  <xdr:twoCellAnchor editAs="oneCell">
    <xdr:from>
      <xdr:col>0</xdr:col>
      <xdr:colOff>1826415</xdr:colOff>
      <xdr:row>30</xdr:row>
      <xdr:rowOff>66676</xdr:rowOff>
    </xdr:from>
    <xdr:to>
      <xdr:col>0</xdr:col>
      <xdr:colOff>2112165</xdr:colOff>
      <xdr:row>31</xdr:row>
      <xdr:rowOff>28575</xdr:rowOff>
    </xdr:to>
    <xdr:pic>
      <xdr:nvPicPr>
        <xdr:cNvPr id="41" name="Afbeelding 40"/>
        <xdr:cNvPicPr>
          <a:picLocks noChangeAspect="1"/>
        </xdr:cNvPicPr>
      </xdr:nvPicPr>
      <xdr:blipFill>
        <a:blip xmlns:r="http://schemas.openxmlformats.org/officeDocument/2006/relationships" r:embed="rId15"/>
        <a:stretch>
          <a:fillRect/>
        </a:stretch>
      </xdr:blipFill>
      <xdr:spPr>
        <a:xfrm>
          <a:off x="1826415" y="14973301"/>
          <a:ext cx="285750" cy="152399"/>
        </a:xfrm>
        <a:prstGeom prst="rect">
          <a:avLst/>
        </a:prstGeom>
      </xdr:spPr>
    </xdr:pic>
    <xdr:clientData/>
  </xdr:twoCellAnchor>
  <xdr:twoCellAnchor editAs="oneCell">
    <xdr:from>
      <xdr:col>0</xdr:col>
      <xdr:colOff>1793078</xdr:colOff>
      <xdr:row>31</xdr:row>
      <xdr:rowOff>47625</xdr:rowOff>
    </xdr:from>
    <xdr:to>
      <xdr:col>0</xdr:col>
      <xdr:colOff>2078828</xdr:colOff>
      <xdr:row>32</xdr:row>
      <xdr:rowOff>9525</xdr:rowOff>
    </xdr:to>
    <xdr:pic>
      <xdr:nvPicPr>
        <xdr:cNvPr id="42" name="Afbeelding 41"/>
        <xdr:cNvPicPr>
          <a:picLocks noChangeAspect="1"/>
        </xdr:cNvPicPr>
      </xdr:nvPicPr>
      <xdr:blipFill>
        <a:blip xmlns:r="http://schemas.openxmlformats.org/officeDocument/2006/relationships" r:embed="rId15"/>
        <a:stretch>
          <a:fillRect/>
        </a:stretch>
      </xdr:blipFill>
      <xdr:spPr>
        <a:xfrm>
          <a:off x="1793078" y="15144750"/>
          <a:ext cx="285750" cy="152400"/>
        </a:xfrm>
        <a:prstGeom prst="rect">
          <a:avLst/>
        </a:prstGeom>
      </xdr:spPr>
    </xdr:pic>
    <xdr:clientData/>
  </xdr:twoCellAnchor>
  <xdr:twoCellAnchor editAs="oneCell">
    <xdr:from>
      <xdr:col>0</xdr:col>
      <xdr:colOff>1909759</xdr:colOff>
      <xdr:row>27</xdr:row>
      <xdr:rowOff>1</xdr:rowOff>
    </xdr:from>
    <xdr:to>
      <xdr:col>0</xdr:col>
      <xdr:colOff>1995484</xdr:colOff>
      <xdr:row>28</xdr:row>
      <xdr:rowOff>10856</xdr:rowOff>
    </xdr:to>
    <xdr:pic>
      <xdr:nvPicPr>
        <xdr:cNvPr id="43" name="Afbeelding 42"/>
        <xdr:cNvPicPr>
          <a:picLocks noChangeAspect="1"/>
        </xdr:cNvPicPr>
      </xdr:nvPicPr>
      <xdr:blipFill>
        <a:blip xmlns:r="http://schemas.openxmlformats.org/officeDocument/2006/relationships" r:embed="rId16"/>
        <a:stretch>
          <a:fillRect/>
        </a:stretch>
      </xdr:blipFill>
      <xdr:spPr>
        <a:xfrm>
          <a:off x="1909759" y="14525626"/>
          <a:ext cx="85725" cy="201355"/>
        </a:xfrm>
        <a:prstGeom prst="rect">
          <a:avLst/>
        </a:prstGeom>
      </xdr:spPr>
    </xdr:pic>
    <xdr:clientData/>
  </xdr:twoCellAnchor>
  <xdr:twoCellAnchor editAs="oneCell">
    <xdr:from>
      <xdr:col>0</xdr:col>
      <xdr:colOff>1875600</xdr:colOff>
      <xdr:row>36</xdr:row>
      <xdr:rowOff>20929</xdr:rowOff>
    </xdr:from>
    <xdr:to>
      <xdr:col>0</xdr:col>
      <xdr:colOff>2186464</xdr:colOff>
      <xdr:row>36</xdr:row>
      <xdr:rowOff>154101</xdr:rowOff>
    </xdr:to>
    <xdr:pic>
      <xdr:nvPicPr>
        <xdr:cNvPr id="56" name="Afbeelding 55"/>
        <xdr:cNvPicPr>
          <a:picLocks noChangeAspect="1"/>
        </xdr:cNvPicPr>
      </xdr:nvPicPr>
      <xdr:blipFill>
        <a:blip xmlns:r="http://schemas.openxmlformats.org/officeDocument/2006/relationships" r:embed="rId17"/>
        <a:stretch>
          <a:fillRect/>
        </a:stretch>
      </xdr:blipFill>
      <xdr:spPr>
        <a:xfrm>
          <a:off x="1875600" y="15891960"/>
          <a:ext cx="310864" cy="133172"/>
        </a:xfrm>
        <a:prstGeom prst="rect">
          <a:avLst/>
        </a:prstGeom>
      </xdr:spPr>
    </xdr:pic>
    <xdr:clientData/>
  </xdr:twoCellAnchor>
  <xdr:oneCellAnchor>
    <xdr:from>
      <xdr:col>0</xdr:col>
      <xdr:colOff>1759744</xdr:colOff>
      <xdr:row>35</xdr:row>
      <xdr:rowOff>40383</xdr:rowOff>
    </xdr:from>
    <xdr:ext cx="608980" cy="133350"/>
    <xdr:pic>
      <xdr:nvPicPr>
        <xdr:cNvPr id="59" name="Afbeelding 58"/>
        <xdr:cNvPicPr>
          <a:picLocks noChangeAspect="1"/>
        </xdr:cNvPicPr>
      </xdr:nvPicPr>
      <xdr:blipFill>
        <a:blip xmlns:r="http://schemas.openxmlformats.org/officeDocument/2006/relationships" r:embed="rId18"/>
        <a:stretch>
          <a:fillRect/>
        </a:stretch>
      </xdr:blipFill>
      <xdr:spPr>
        <a:xfrm>
          <a:off x="1759744" y="11791852"/>
          <a:ext cx="608980" cy="133350"/>
        </a:xfrm>
        <a:prstGeom prst="rect">
          <a:avLst/>
        </a:prstGeom>
      </xdr:spPr>
    </xdr:pic>
    <xdr:clientData/>
  </xdr:oneCellAnchor>
  <xdr:oneCellAnchor>
    <xdr:from>
      <xdr:col>0</xdr:col>
      <xdr:colOff>1762122</xdr:colOff>
      <xdr:row>35</xdr:row>
      <xdr:rowOff>42863</xdr:rowOff>
    </xdr:from>
    <xdr:ext cx="608980" cy="133350"/>
    <xdr:pic>
      <xdr:nvPicPr>
        <xdr:cNvPr id="60" name="Afbeelding 59"/>
        <xdr:cNvPicPr>
          <a:picLocks noChangeAspect="1"/>
        </xdr:cNvPicPr>
      </xdr:nvPicPr>
      <xdr:blipFill>
        <a:blip xmlns:r="http://schemas.openxmlformats.org/officeDocument/2006/relationships" r:embed="rId18"/>
        <a:stretch>
          <a:fillRect/>
        </a:stretch>
      </xdr:blipFill>
      <xdr:spPr>
        <a:xfrm>
          <a:off x="1762122" y="11794332"/>
          <a:ext cx="608980" cy="133350"/>
        </a:xfrm>
        <a:prstGeom prst="rect">
          <a:avLst/>
        </a:prstGeom>
      </xdr:spPr>
    </xdr:pic>
    <xdr:clientData/>
  </xdr:oneCellAnchor>
  <xdr:twoCellAnchor editAs="oneCell">
    <xdr:from>
      <xdr:col>0</xdr:col>
      <xdr:colOff>1716877</xdr:colOff>
      <xdr:row>29</xdr:row>
      <xdr:rowOff>76201</xdr:rowOff>
    </xdr:from>
    <xdr:to>
      <xdr:col>0</xdr:col>
      <xdr:colOff>2002627</xdr:colOff>
      <xdr:row>30</xdr:row>
      <xdr:rowOff>38100</xdr:rowOff>
    </xdr:to>
    <xdr:pic>
      <xdr:nvPicPr>
        <xdr:cNvPr id="66" name="Afbeelding 65"/>
        <xdr:cNvPicPr>
          <a:picLocks noChangeAspect="1"/>
        </xdr:cNvPicPr>
      </xdr:nvPicPr>
      <xdr:blipFill>
        <a:blip xmlns:r="http://schemas.openxmlformats.org/officeDocument/2006/relationships" r:embed="rId15"/>
        <a:stretch>
          <a:fillRect/>
        </a:stretch>
      </xdr:blipFill>
      <xdr:spPr>
        <a:xfrm>
          <a:off x="1716877" y="15744826"/>
          <a:ext cx="285750" cy="152399"/>
        </a:xfrm>
        <a:prstGeom prst="rect">
          <a:avLst/>
        </a:prstGeom>
      </xdr:spPr>
    </xdr:pic>
    <xdr:clientData/>
  </xdr:twoCellAnchor>
  <xdr:twoCellAnchor editAs="oneCell">
    <xdr:from>
      <xdr:col>0</xdr:col>
      <xdr:colOff>2074065</xdr:colOff>
      <xdr:row>29</xdr:row>
      <xdr:rowOff>45244</xdr:rowOff>
    </xdr:from>
    <xdr:to>
      <xdr:col>0</xdr:col>
      <xdr:colOff>2159790</xdr:colOff>
      <xdr:row>30</xdr:row>
      <xdr:rowOff>56099</xdr:rowOff>
    </xdr:to>
    <xdr:pic>
      <xdr:nvPicPr>
        <xdr:cNvPr id="67" name="Afbeelding 66"/>
        <xdr:cNvPicPr>
          <a:picLocks noChangeAspect="1"/>
        </xdr:cNvPicPr>
      </xdr:nvPicPr>
      <xdr:blipFill>
        <a:blip xmlns:r="http://schemas.openxmlformats.org/officeDocument/2006/relationships" r:embed="rId16"/>
        <a:stretch>
          <a:fillRect/>
        </a:stretch>
      </xdr:blipFill>
      <xdr:spPr>
        <a:xfrm>
          <a:off x="2074065" y="15713869"/>
          <a:ext cx="85725" cy="201355"/>
        </a:xfrm>
        <a:prstGeom prst="rect">
          <a:avLst/>
        </a:prstGeom>
      </xdr:spPr>
    </xdr:pic>
    <xdr:clientData/>
  </xdr:twoCellAnchor>
  <xdr:twoCellAnchor editAs="oneCell">
    <xdr:from>
      <xdr:col>0</xdr:col>
      <xdr:colOff>1643062</xdr:colOff>
      <xdr:row>54</xdr:row>
      <xdr:rowOff>0</xdr:rowOff>
    </xdr:from>
    <xdr:to>
      <xdr:col>0</xdr:col>
      <xdr:colOff>2166937</xdr:colOff>
      <xdr:row>55</xdr:row>
      <xdr:rowOff>5176</xdr:rowOff>
    </xdr:to>
    <xdr:pic>
      <xdr:nvPicPr>
        <xdr:cNvPr id="3" name="Afbeelding 2"/>
        <xdr:cNvPicPr>
          <a:picLocks noChangeAspect="1"/>
        </xdr:cNvPicPr>
      </xdr:nvPicPr>
      <xdr:blipFill>
        <a:blip xmlns:r="http://schemas.openxmlformats.org/officeDocument/2006/relationships" r:embed="rId19"/>
        <a:stretch>
          <a:fillRect/>
        </a:stretch>
      </xdr:blipFill>
      <xdr:spPr>
        <a:xfrm>
          <a:off x="1643062" y="10798969"/>
          <a:ext cx="523875" cy="195676"/>
        </a:xfrm>
        <a:prstGeom prst="rect">
          <a:avLst/>
        </a:prstGeom>
      </xdr:spPr>
    </xdr:pic>
    <xdr:clientData/>
  </xdr:twoCellAnchor>
  <xdr:twoCellAnchor editAs="oneCell">
    <xdr:from>
      <xdr:col>0</xdr:col>
      <xdr:colOff>1982173</xdr:colOff>
      <xdr:row>60</xdr:row>
      <xdr:rowOff>21442</xdr:rowOff>
    </xdr:from>
    <xdr:to>
      <xdr:col>0</xdr:col>
      <xdr:colOff>2312129</xdr:colOff>
      <xdr:row>60</xdr:row>
      <xdr:rowOff>187494</xdr:rowOff>
    </xdr:to>
    <xdr:pic>
      <xdr:nvPicPr>
        <xdr:cNvPr id="31" name="Afbeelding 30"/>
        <xdr:cNvPicPr>
          <a:picLocks noChangeAspect="1"/>
        </xdr:cNvPicPr>
      </xdr:nvPicPr>
      <xdr:blipFill>
        <a:blip xmlns:r="http://schemas.openxmlformats.org/officeDocument/2006/relationships" r:embed="rId8"/>
        <a:stretch>
          <a:fillRect/>
        </a:stretch>
      </xdr:blipFill>
      <xdr:spPr>
        <a:xfrm>
          <a:off x="1982173" y="11427630"/>
          <a:ext cx="329956" cy="1660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5</xdr:row>
      <xdr:rowOff>189108</xdr:rowOff>
    </xdr:from>
    <xdr:to>
      <xdr:col>5</xdr:col>
      <xdr:colOff>0</xdr:colOff>
      <xdr:row>31</xdr:row>
      <xdr:rowOff>38100</xdr:rowOff>
    </xdr:to>
    <xdr:sp macro="" textlink="">
      <xdr:nvSpPr>
        <xdr:cNvPr id="3" name="Gelijkbenige driehoek 2"/>
        <xdr:cNvSpPr/>
      </xdr:nvSpPr>
      <xdr:spPr>
        <a:xfrm>
          <a:off x="7186288" y="1065408"/>
          <a:ext cx="519438" cy="5230617"/>
        </a:xfrm>
        <a:prstGeom prst="triangle">
          <a:avLst/>
        </a:prstGeom>
        <a:solidFill>
          <a:schemeClr val="accent6">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nl-B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nl-BE"/>
        </a:p>
      </xdr:txBody>
    </xdr:sp>
    <xdr:clientData/>
  </xdr:twoCellAnchor>
  <xdr:twoCellAnchor>
    <xdr:from>
      <xdr:col>3</xdr:col>
      <xdr:colOff>609601</xdr:colOff>
      <xdr:row>18</xdr:row>
      <xdr:rowOff>180975</xdr:rowOff>
    </xdr:from>
    <xdr:to>
      <xdr:col>4</xdr:col>
      <xdr:colOff>171451</xdr:colOff>
      <xdr:row>20</xdr:row>
      <xdr:rowOff>38100</xdr:rowOff>
    </xdr:to>
    <xdr:sp macro="" textlink="">
      <xdr:nvSpPr>
        <xdr:cNvPr id="2" name="Trapezium 1"/>
        <xdr:cNvSpPr/>
      </xdr:nvSpPr>
      <xdr:spPr>
        <a:xfrm>
          <a:off x="5353051" y="3924300"/>
          <a:ext cx="342900" cy="247650"/>
        </a:xfrm>
        <a:prstGeom prst="trapezoid">
          <a:avLst>
            <a:gd name="adj" fmla="val 17857"/>
          </a:avLst>
        </a:prstGeom>
        <a:solidFill>
          <a:schemeClr val="accent3"/>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676275</xdr:colOff>
      <xdr:row>13</xdr:row>
      <xdr:rowOff>161925</xdr:rowOff>
    </xdr:from>
    <xdr:to>
      <xdr:col>4</xdr:col>
      <xdr:colOff>104775</xdr:colOff>
      <xdr:row>18</xdr:row>
      <xdr:rowOff>142875</xdr:rowOff>
    </xdr:to>
    <xdr:sp macro="" textlink="">
      <xdr:nvSpPr>
        <xdr:cNvPr id="5" name="Gelijkbenige driehoek 4"/>
        <xdr:cNvSpPr/>
      </xdr:nvSpPr>
      <xdr:spPr>
        <a:xfrm>
          <a:off x="5419725" y="2962275"/>
          <a:ext cx="209550" cy="933450"/>
        </a:xfrm>
        <a:prstGeom prst="triangle">
          <a:avLst/>
        </a:prstGeom>
        <a:solidFill>
          <a:schemeClr val="accent6">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609601</xdr:colOff>
      <xdr:row>4</xdr:row>
      <xdr:rowOff>152399</xdr:rowOff>
    </xdr:from>
    <xdr:to>
      <xdr:col>4</xdr:col>
      <xdr:colOff>180975</xdr:colOff>
      <xdr:row>11</xdr:row>
      <xdr:rowOff>0</xdr:rowOff>
    </xdr:to>
    <xdr:sp macro="" textlink="">
      <xdr:nvSpPr>
        <xdr:cNvPr id="6" name="Gelijkbenige driehoek 5"/>
        <xdr:cNvSpPr/>
      </xdr:nvSpPr>
      <xdr:spPr>
        <a:xfrm>
          <a:off x="5353051" y="847724"/>
          <a:ext cx="352424" cy="1219201"/>
        </a:xfrm>
        <a:prstGeom prst="triangle">
          <a:avLst/>
        </a:prstGeom>
        <a:solidFill>
          <a:schemeClr val="accent3"/>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619126</xdr:colOff>
      <xdr:row>27</xdr:row>
      <xdr:rowOff>161925</xdr:rowOff>
    </xdr:from>
    <xdr:to>
      <xdr:col>4</xdr:col>
      <xdr:colOff>180976</xdr:colOff>
      <xdr:row>29</xdr:row>
      <xdr:rowOff>28575</xdr:rowOff>
    </xdr:to>
    <xdr:sp macro="" textlink="">
      <xdr:nvSpPr>
        <xdr:cNvPr id="9" name="Trapezium 8"/>
        <xdr:cNvSpPr/>
      </xdr:nvSpPr>
      <xdr:spPr>
        <a:xfrm>
          <a:off x="5362576" y="5629275"/>
          <a:ext cx="342900" cy="247650"/>
        </a:xfrm>
        <a:prstGeom prst="trapezoid">
          <a:avLst>
            <a:gd name="adj" fmla="val 17857"/>
          </a:avLst>
        </a:prstGeom>
        <a:solidFill>
          <a:schemeClr val="accent6">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723899</xdr:colOff>
      <xdr:row>22</xdr:row>
      <xdr:rowOff>171450</xdr:rowOff>
    </xdr:from>
    <xdr:to>
      <xdr:col>4</xdr:col>
      <xdr:colOff>66674</xdr:colOff>
      <xdr:row>25</xdr:row>
      <xdr:rowOff>66675</xdr:rowOff>
    </xdr:to>
    <xdr:sp macro="" textlink="">
      <xdr:nvSpPr>
        <xdr:cNvPr id="11" name="Gelijkbenige driehoek 10"/>
        <xdr:cNvSpPr/>
      </xdr:nvSpPr>
      <xdr:spPr>
        <a:xfrm>
          <a:off x="5467349" y="4686300"/>
          <a:ext cx="123825" cy="466725"/>
        </a:xfrm>
        <a:prstGeom prst="triangle">
          <a:avLst/>
        </a:prstGeom>
        <a:solidFill>
          <a:schemeClr val="accent6">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733424</xdr:colOff>
      <xdr:row>32</xdr:row>
      <xdr:rowOff>0</xdr:rowOff>
    </xdr:from>
    <xdr:to>
      <xdr:col>4</xdr:col>
      <xdr:colOff>76199</xdr:colOff>
      <xdr:row>34</xdr:row>
      <xdr:rowOff>85725</xdr:rowOff>
    </xdr:to>
    <xdr:sp macro="" textlink="">
      <xdr:nvSpPr>
        <xdr:cNvPr id="12" name="Gelijkbenige driehoek 11"/>
        <xdr:cNvSpPr/>
      </xdr:nvSpPr>
      <xdr:spPr>
        <a:xfrm>
          <a:off x="5476874" y="6467475"/>
          <a:ext cx="123825" cy="466725"/>
        </a:xfrm>
        <a:prstGeom prst="triangle">
          <a:avLst/>
        </a:prstGeom>
        <a:solidFill>
          <a:schemeClr val="accent3"/>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676275</xdr:colOff>
      <xdr:row>25</xdr:row>
      <xdr:rowOff>104775</xdr:rowOff>
    </xdr:from>
    <xdr:to>
      <xdr:col>4</xdr:col>
      <xdr:colOff>114300</xdr:colOff>
      <xdr:row>27</xdr:row>
      <xdr:rowOff>123824</xdr:rowOff>
    </xdr:to>
    <xdr:sp macro="" textlink="">
      <xdr:nvSpPr>
        <xdr:cNvPr id="13" name="Trapezium 12"/>
        <xdr:cNvSpPr/>
      </xdr:nvSpPr>
      <xdr:spPr>
        <a:xfrm>
          <a:off x="5419725" y="5410200"/>
          <a:ext cx="219075" cy="419099"/>
        </a:xfrm>
        <a:prstGeom prst="trapezoid">
          <a:avLst>
            <a:gd name="adj" fmla="val 21561"/>
          </a:avLst>
        </a:prstGeom>
        <a:solidFill>
          <a:schemeClr val="accent3"/>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3</xdr:col>
      <xdr:colOff>628650</xdr:colOff>
      <xdr:row>34</xdr:row>
      <xdr:rowOff>114300</xdr:rowOff>
    </xdr:from>
    <xdr:to>
      <xdr:col>4</xdr:col>
      <xdr:colOff>190500</xdr:colOff>
      <xdr:row>38</xdr:row>
      <xdr:rowOff>28575</xdr:rowOff>
    </xdr:to>
    <xdr:sp macro="" textlink="">
      <xdr:nvSpPr>
        <xdr:cNvPr id="15" name="Trapezium 14"/>
        <xdr:cNvSpPr/>
      </xdr:nvSpPr>
      <xdr:spPr>
        <a:xfrm>
          <a:off x="5372100" y="6953250"/>
          <a:ext cx="342900" cy="676275"/>
        </a:xfrm>
        <a:prstGeom prst="trapezoid">
          <a:avLst>
            <a:gd name="adj" fmla="val 26668"/>
          </a:avLst>
        </a:prstGeom>
        <a:solidFill>
          <a:schemeClr val="accent6">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twoCellAnchor>
    <xdr:from>
      <xdr:col>5</xdr:col>
      <xdr:colOff>440530</xdr:colOff>
      <xdr:row>2</xdr:row>
      <xdr:rowOff>11907</xdr:rowOff>
    </xdr:from>
    <xdr:to>
      <xdr:col>9</xdr:col>
      <xdr:colOff>881062</xdr:colOff>
      <xdr:row>31</xdr:row>
      <xdr:rowOff>1</xdr:rowOff>
    </xdr:to>
    <xdr:graphicFrame macro="">
      <xdr:nvGraphicFramePr>
        <xdr:cNvPr id="14" name="Grafiek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tabColor rgb="FF92D050"/>
    <pageSetUpPr fitToPage="1"/>
  </sheetPr>
  <dimension ref="A1:W167"/>
  <sheetViews>
    <sheetView tabSelected="1" zoomScaleNormal="100" workbookViewId="0">
      <selection activeCell="D13" sqref="D13"/>
    </sheetView>
  </sheetViews>
  <sheetFormatPr defaultRowHeight="15" x14ac:dyDescent="0.25"/>
  <cols>
    <col min="1" max="1" width="12.7109375" customWidth="1"/>
    <col min="2" max="2" width="20.7109375" customWidth="1"/>
    <col min="3" max="3" width="5.7109375" customWidth="1"/>
    <col min="4" max="4" width="20.7109375" customWidth="1"/>
    <col min="5" max="5" width="5.7109375" customWidth="1"/>
    <col min="6" max="6" width="20.7109375" customWidth="1"/>
    <col min="7" max="7" width="5.7109375" customWidth="1"/>
    <col min="8" max="8" width="19.28515625" customWidth="1"/>
    <col min="9" max="9" width="5.7109375" customWidth="1"/>
    <col min="10" max="10" width="19.28515625" customWidth="1"/>
    <col min="11" max="11" width="5.7109375" customWidth="1"/>
    <col min="12" max="12" width="19.28515625" customWidth="1"/>
    <col min="13" max="13" width="5.7109375" customWidth="1"/>
    <col min="14" max="14" width="19.28515625" customWidth="1"/>
    <col min="15" max="15" width="12.7109375" style="3" customWidth="1"/>
    <col min="16" max="16" width="9.7109375" customWidth="1"/>
    <col min="17" max="17" width="49.7109375" customWidth="1"/>
    <col min="18" max="18" width="14.7109375" customWidth="1"/>
    <col min="19" max="21" width="8.7109375" customWidth="1"/>
  </cols>
  <sheetData>
    <row r="1" spans="1:23" ht="40.5" customHeight="1" x14ac:dyDescent="0.25">
      <c r="A1" s="518" t="s">
        <v>302</v>
      </c>
      <c r="B1" s="519"/>
      <c r="C1" s="519"/>
      <c r="D1" s="519"/>
      <c r="E1" s="519"/>
      <c r="F1" s="519"/>
      <c r="G1" s="519"/>
      <c r="H1" s="519"/>
      <c r="I1" s="519"/>
      <c r="J1" s="519"/>
      <c r="K1" s="519"/>
      <c r="L1" s="519"/>
      <c r="M1" s="519"/>
      <c r="N1" s="519"/>
      <c r="O1" s="520"/>
      <c r="P1" s="1"/>
      <c r="Q1" s="3"/>
    </row>
    <row r="2" spans="1:23" ht="21" customHeight="1" x14ac:dyDescent="0.25">
      <c r="A2" s="530" t="s">
        <v>301</v>
      </c>
      <c r="B2" s="531"/>
      <c r="C2" s="531"/>
      <c r="D2" s="531"/>
      <c r="E2" s="531"/>
      <c r="F2" s="531"/>
      <c r="G2" s="531"/>
      <c r="H2" s="531"/>
      <c r="I2" s="531"/>
      <c r="J2" s="531"/>
      <c r="K2" s="531"/>
      <c r="L2" s="531"/>
      <c r="M2" s="531"/>
      <c r="N2" s="531"/>
      <c r="O2" s="532"/>
      <c r="P2" s="1"/>
      <c r="Q2" s="144"/>
    </row>
    <row r="3" spans="1:23" ht="15.75" thickBot="1" x14ac:dyDescent="0.3">
      <c r="A3" s="533" t="s">
        <v>158</v>
      </c>
      <c r="B3" s="534"/>
      <c r="C3" s="535"/>
      <c r="D3" s="542"/>
      <c r="E3" s="543"/>
      <c r="F3" s="543"/>
      <c r="G3" s="543"/>
      <c r="H3" s="543"/>
      <c r="I3" s="543"/>
      <c r="J3" s="543"/>
      <c r="K3" s="543"/>
      <c r="L3" s="543"/>
      <c r="M3" s="543"/>
      <c r="N3" s="543"/>
      <c r="O3" s="544"/>
      <c r="Q3" s="2"/>
    </row>
    <row r="4" spans="1:23" x14ac:dyDescent="0.25">
      <c r="A4" s="509" t="s">
        <v>252</v>
      </c>
      <c r="B4" s="510"/>
      <c r="C4" s="511"/>
      <c r="D4" s="539"/>
      <c r="E4" s="540"/>
      <c r="F4" s="540"/>
      <c r="G4" s="540"/>
      <c r="H4" s="540"/>
      <c r="I4" s="540"/>
      <c r="J4" s="540"/>
      <c r="K4" s="540"/>
      <c r="L4" s="540"/>
      <c r="M4" s="540"/>
      <c r="N4" s="540"/>
      <c r="O4" s="541"/>
      <c r="Q4" s="2"/>
    </row>
    <row r="5" spans="1:23" x14ac:dyDescent="0.25">
      <c r="A5" s="515" t="s">
        <v>253</v>
      </c>
      <c r="B5" s="516"/>
      <c r="C5" s="517"/>
      <c r="D5" s="524"/>
      <c r="E5" s="525"/>
      <c r="F5" s="525"/>
      <c r="G5" s="525"/>
      <c r="H5" s="525"/>
      <c r="I5" s="525"/>
      <c r="J5" s="525"/>
      <c r="K5" s="525"/>
      <c r="L5" s="525"/>
      <c r="M5" s="525"/>
      <c r="N5" s="525"/>
      <c r="O5" s="526"/>
      <c r="Q5" s="2"/>
    </row>
    <row r="6" spans="1:23" x14ac:dyDescent="0.25">
      <c r="A6" s="515" t="s">
        <v>287</v>
      </c>
      <c r="B6" s="516"/>
      <c r="C6" s="517"/>
      <c r="D6" s="536"/>
      <c r="E6" s="537"/>
      <c r="F6" s="537"/>
      <c r="G6" s="537"/>
      <c r="H6" s="537"/>
      <c r="I6" s="537"/>
      <c r="J6" s="537"/>
      <c r="K6" s="537"/>
      <c r="L6" s="537"/>
      <c r="M6" s="537"/>
      <c r="N6" s="537"/>
      <c r="O6" s="538"/>
      <c r="Q6" s="2"/>
    </row>
    <row r="7" spans="1:23" x14ac:dyDescent="0.25">
      <c r="A7" s="372"/>
      <c r="B7" s="370"/>
      <c r="C7" s="371"/>
      <c r="D7" s="536"/>
      <c r="E7" s="537"/>
      <c r="F7" s="537"/>
      <c r="G7" s="537"/>
      <c r="H7" s="537"/>
      <c r="I7" s="537"/>
      <c r="J7" s="537"/>
      <c r="K7" s="537"/>
      <c r="L7" s="537"/>
      <c r="M7" s="537"/>
      <c r="N7" s="537"/>
      <c r="O7" s="538"/>
      <c r="Q7" s="2"/>
    </row>
    <row r="8" spans="1:23" ht="18" customHeight="1" x14ac:dyDescent="0.3">
      <c r="A8" s="527" t="s">
        <v>97</v>
      </c>
      <c r="B8" s="528"/>
      <c r="C8" s="528"/>
      <c r="D8" s="528"/>
      <c r="E8" s="528"/>
      <c r="F8" s="528"/>
      <c r="G8" s="528"/>
      <c r="H8" s="528"/>
      <c r="I8" s="528"/>
      <c r="J8" s="528"/>
      <c r="K8" s="528"/>
      <c r="L8" s="528"/>
      <c r="M8" s="528"/>
      <c r="N8" s="528"/>
      <c r="O8" s="529"/>
      <c r="P8" s="14"/>
      <c r="Q8" s="2"/>
      <c r="W8" s="1"/>
    </row>
    <row r="9" spans="1:23" ht="15.75" customHeight="1" x14ac:dyDescent="0.3">
      <c r="A9" s="512" t="s">
        <v>152</v>
      </c>
      <c r="B9" s="513"/>
      <c r="C9" s="513"/>
      <c r="D9" s="513"/>
      <c r="E9" s="513"/>
      <c r="F9" s="513"/>
      <c r="G9" s="513"/>
      <c r="H9" s="513"/>
      <c r="I9" s="513"/>
      <c r="J9" s="513"/>
      <c r="K9" s="513"/>
      <c r="L9" s="513"/>
      <c r="M9" s="513"/>
      <c r="N9" s="513"/>
      <c r="O9" s="514"/>
      <c r="P9" s="14"/>
      <c r="Q9" s="3"/>
      <c r="W9" s="1"/>
    </row>
    <row r="10" spans="1:23" ht="5.25" customHeight="1" x14ac:dyDescent="0.3">
      <c r="A10" s="373"/>
      <c r="B10" s="273"/>
      <c r="C10" s="272"/>
      <c r="D10" s="273"/>
      <c r="E10" s="272"/>
      <c r="F10" s="272"/>
      <c r="G10" s="272"/>
      <c r="H10" s="272"/>
      <c r="I10" s="272"/>
      <c r="J10" s="272"/>
      <c r="K10" s="272"/>
      <c r="L10" s="274"/>
      <c r="M10" s="272"/>
      <c r="N10" s="272"/>
      <c r="O10" s="374"/>
      <c r="P10" s="14"/>
      <c r="W10" s="1"/>
    </row>
    <row r="11" spans="1:23" ht="15" customHeight="1" x14ac:dyDescent="0.25">
      <c r="A11" s="375"/>
      <c r="B11" s="24" t="s">
        <v>117</v>
      </c>
      <c r="C11" s="18"/>
      <c r="D11" s="376"/>
      <c r="E11" s="376"/>
      <c r="F11" s="376"/>
      <c r="G11" s="18"/>
      <c r="H11" s="376"/>
      <c r="I11" s="18"/>
      <c r="J11" s="507" t="s">
        <v>74</v>
      </c>
      <c r="K11" s="18"/>
      <c r="L11" s="314" t="s">
        <v>173</v>
      </c>
      <c r="M11" s="18"/>
      <c r="N11" s="37" t="s">
        <v>80</v>
      </c>
      <c r="O11" s="377"/>
    </row>
    <row r="12" spans="1:23" ht="15" customHeight="1" x14ac:dyDescent="0.25">
      <c r="A12" s="378"/>
      <c r="B12" s="48">
        <v>0</v>
      </c>
      <c r="C12" s="18"/>
      <c r="D12" s="376"/>
      <c r="E12" s="376"/>
      <c r="F12" s="376"/>
      <c r="G12" s="18"/>
      <c r="H12" s="376"/>
      <c r="I12" s="18"/>
      <c r="J12" s="276">
        <v>0</v>
      </c>
      <c r="K12" s="57"/>
      <c r="L12" s="33">
        <f>(J12*D33)-J12</f>
        <v>0</v>
      </c>
      <c r="M12" s="275"/>
      <c r="N12" s="33">
        <f>J12+L12</f>
        <v>0</v>
      </c>
      <c r="O12" s="377"/>
      <c r="Q12" s="194"/>
    </row>
    <row r="13" spans="1:23" s="3" customFormat="1" ht="15" customHeight="1" x14ac:dyDescent="0.25">
      <c r="A13" s="378"/>
      <c r="B13" s="19" t="s">
        <v>47</v>
      </c>
      <c r="C13" s="18"/>
      <c r="D13" s="277" t="s">
        <v>303</v>
      </c>
      <c r="E13" s="18"/>
      <c r="F13" s="315" t="s">
        <v>297</v>
      </c>
      <c r="G13" s="24"/>
      <c r="H13" s="314" t="s">
        <v>90</v>
      </c>
      <c r="I13" s="18"/>
      <c r="J13" s="142" t="s">
        <v>91</v>
      </c>
      <c r="K13" s="18"/>
      <c r="L13" s="142" t="s">
        <v>78</v>
      </c>
      <c r="M13" s="18"/>
      <c r="N13" s="142" t="s">
        <v>0</v>
      </c>
      <c r="O13" s="377"/>
      <c r="R13"/>
    </row>
    <row r="14" spans="1:23" s="3" customFormat="1" ht="15" customHeight="1" x14ac:dyDescent="0.25">
      <c r="A14" s="378"/>
      <c r="B14" s="50" t="s">
        <v>10</v>
      </c>
      <c r="C14" s="18"/>
      <c r="D14" s="48">
        <v>0</v>
      </c>
      <c r="E14" s="42"/>
      <c r="F14" s="53">
        <v>0.6</v>
      </c>
      <c r="G14" s="312"/>
      <c r="H14" s="91">
        <f>INDEX('Algemeen en kostprijzen'!A5:AK21,'Algemeen en kostprijzen'!AL7,'Algemeen en kostprijzen'!AL8)</f>
        <v>1396</v>
      </c>
      <c r="I14" s="18"/>
      <c r="J14" s="143">
        <f>J12*(H14/1000)</f>
        <v>0</v>
      </c>
      <c r="K14" s="18"/>
      <c r="L14" s="143">
        <f>L12*(H14/1000)</f>
        <v>0</v>
      </c>
      <c r="M14" s="18"/>
      <c r="N14" s="78">
        <f>J14+L14</f>
        <v>0</v>
      </c>
      <c r="O14" s="377"/>
      <c r="Q14" s="344"/>
      <c r="R14"/>
    </row>
    <row r="15" spans="1:23" s="3" customFormat="1" ht="15" customHeight="1" x14ac:dyDescent="0.25">
      <c r="A15" s="378"/>
      <c r="B15" s="24" t="s">
        <v>95</v>
      </c>
      <c r="C15" s="18"/>
      <c r="D15" s="411"/>
      <c r="E15" s="411"/>
      <c r="F15" s="411"/>
      <c r="G15" s="18"/>
      <c r="H15" s="345"/>
      <c r="I15" s="54"/>
      <c r="J15" s="24" t="s">
        <v>200</v>
      </c>
      <c r="K15" s="18"/>
      <c r="L15" s="142" t="s">
        <v>222</v>
      </c>
      <c r="M15" s="110"/>
      <c r="N15" s="24" t="s">
        <v>129</v>
      </c>
      <c r="O15" s="377"/>
      <c r="R15"/>
    </row>
    <row r="16" spans="1:23" s="3" customFormat="1" ht="15" customHeight="1" x14ac:dyDescent="0.25">
      <c r="A16" s="378"/>
      <c r="B16" s="279">
        <v>0</v>
      </c>
      <c r="C16" s="278"/>
      <c r="D16" s="411"/>
      <c r="E16" s="411"/>
      <c r="F16" s="411"/>
      <c r="G16" s="18"/>
      <c r="H16" s="376"/>
      <c r="I16" s="18"/>
      <c r="J16" s="91" t="e">
        <f>(N12/N16)/B12</f>
        <v>#DIV/0!</v>
      </c>
      <c r="K16" s="18"/>
      <c r="L16" s="143">
        <f>N16*H14/1000</f>
        <v>0</v>
      </c>
      <c r="M16" s="18"/>
      <c r="N16" s="33">
        <f>Volumebepaling!C10*D33</f>
        <v>0</v>
      </c>
      <c r="O16" s="377"/>
      <c r="R16"/>
    </row>
    <row r="17" spans="1:19" s="3" customFormat="1" ht="15" customHeight="1" x14ac:dyDescent="0.25">
      <c r="A17" s="378"/>
      <c r="B17" s="18"/>
      <c r="C17" s="18"/>
      <c r="D17" s="18"/>
      <c r="E17" s="18"/>
      <c r="F17" s="18"/>
      <c r="G17" s="18"/>
      <c r="H17" s="376"/>
      <c r="I17" s="18"/>
      <c r="J17" s="18"/>
      <c r="K17" s="18"/>
      <c r="L17" s="18"/>
      <c r="M17" s="18"/>
      <c r="N17" s="18"/>
      <c r="O17" s="377"/>
      <c r="R17"/>
    </row>
    <row r="18" spans="1:19" s="3" customFormat="1" ht="15.75" customHeight="1" x14ac:dyDescent="0.25">
      <c r="A18" s="512" t="s">
        <v>206</v>
      </c>
      <c r="B18" s="513"/>
      <c r="C18" s="513"/>
      <c r="D18" s="513"/>
      <c r="E18" s="513"/>
      <c r="F18" s="513"/>
      <c r="G18" s="513"/>
      <c r="H18" s="513"/>
      <c r="I18" s="513"/>
      <c r="J18" s="513"/>
      <c r="K18" s="513"/>
      <c r="L18" s="513"/>
      <c r="M18" s="513"/>
      <c r="N18" s="513"/>
      <c r="O18" s="514"/>
      <c r="P18" s="2"/>
    </row>
    <row r="19" spans="1:19" s="3" customFormat="1" ht="6" customHeight="1" x14ac:dyDescent="0.25">
      <c r="A19" s="378"/>
      <c r="B19" s="18"/>
      <c r="C19" s="18"/>
      <c r="D19" s="18"/>
      <c r="E19" s="18"/>
      <c r="F19" s="18"/>
      <c r="G19" s="18"/>
      <c r="H19" s="18"/>
      <c r="I19" s="18"/>
      <c r="J19" s="18"/>
      <c r="K19" s="18"/>
      <c r="L19" s="18"/>
      <c r="M19" s="18"/>
      <c r="N19" s="33"/>
      <c r="O19" s="377"/>
      <c r="P19" s="2"/>
    </row>
    <row r="20" spans="1:19" s="3" customFormat="1" ht="15" customHeight="1" x14ac:dyDescent="0.25">
      <c r="A20" s="378"/>
      <c r="B20" s="24" t="s">
        <v>53</v>
      </c>
      <c r="C20" s="18"/>
      <c r="D20" s="18"/>
      <c r="E20" s="18"/>
      <c r="F20" s="310" t="s">
        <v>225</v>
      </c>
      <c r="G20" s="313"/>
      <c r="H20" s="310" t="s">
        <v>226</v>
      </c>
      <c r="I20" s="18"/>
      <c r="J20" s="18"/>
      <c r="K20" s="18"/>
      <c r="L20" s="44" t="s">
        <v>41</v>
      </c>
      <c r="M20" s="18"/>
      <c r="N20" s="117" t="s">
        <v>87</v>
      </c>
      <c r="O20" s="377"/>
      <c r="P20" s="2"/>
    </row>
    <row r="21" spans="1:19" s="3" customFormat="1" ht="15" customHeight="1" x14ac:dyDescent="0.25">
      <c r="A21" s="378"/>
      <c r="B21" s="46">
        <v>0</v>
      </c>
      <c r="C21" s="18"/>
      <c r="D21" s="18"/>
      <c r="E21" s="18"/>
      <c r="F21" s="20">
        <f>Volumebepaling!C8</f>
        <v>0</v>
      </c>
      <c r="G21" s="412"/>
      <c r="H21" s="20">
        <f>Volumebepaling!C17</f>
        <v>0</v>
      </c>
      <c r="I21" s="18"/>
      <c r="J21" s="18"/>
      <c r="K21" s="18"/>
      <c r="L21" s="92">
        <f>Volumebepaling!C20</f>
        <v>0</v>
      </c>
      <c r="M21" s="18"/>
      <c r="N21" s="118" t="e">
        <f>L21/(L26+L21+L31+L33)*100</f>
        <v>#DIV/0!</v>
      </c>
      <c r="O21" s="377"/>
      <c r="P21" s="2"/>
    </row>
    <row r="22" spans="1:19" s="3" customFormat="1" ht="15" customHeight="1" x14ac:dyDescent="0.25">
      <c r="A22" s="378"/>
      <c r="B22" s="18"/>
      <c r="C22" s="18"/>
      <c r="D22" s="18"/>
      <c r="E22" s="18"/>
      <c r="F22" s="18"/>
      <c r="G22" s="18"/>
      <c r="H22" s="24"/>
      <c r="I22" s="18"/>
      <c r="J22" s="18"/>
      <c r="K22" s="18"/>
      <c r="L22" s="18"/>
      <c r="M22" s="18"/>
      <c r="N22" s="33"/>
      <c r="O22" s="377"/>
      <c r="P22" s="2"/>
    </row>
    <row r="23" spans="1:19" s="3" customFormat="1" ht="15.75" customHeight="1" x14ac:dyDescent="0.25">
      <c r="A23" s="512" t="s">
        <v>207</v>
      </c>
      <c r="B23" s="513"/>
      <c r="C23" s="513"/>
      <c r="D23" s="513"/>
      <c r="E23" s="513"/>
      <c r="F23" s="513"/>
      <c r="G23" s="513"/>
      <c r="H23" s="513"/>
      <c r="I23" s="513"/>
      <c r="J23" s="513"/>
      <c r="K23" s="513"/>
      <c r="L23" s="513"/>
      <c r="M23" s="513"/>
      <c r="N23" s="513"/>
      <c r="O23" s="514"/>
      <c r="P23" s="2"/>
    </row>
    <row r="24" spans="1:19" s="3" customFormat="1" ht="6" customHeight="1" x14ac:dyDescent="0.25">
      <c r="A24" s="378"/>
      <c r="B24" s="18"/>
      <c r="C24" s="280"/>
      <c r="D24" s="18"/>
      <c r="E24" s="18"/>
      <c r="F24" s="18"/>
      <c r="G24" s="18"/>
      <c r="H24" s="18"/>
      <c r="I24" s="18"/>
      <c r="J24" s="18"/>
      <c r="K24" s="18"/>
      <c r="L24" s="18"/>
      <c r="M24" s="18"/>
      <c r="N24" s="33"/>
      <c r="O24" s="377"/>
      <c r="P24" s="2"/>
      <c r="R24" s="135"/>
      <c r="S24" s="135"/>
    </row>
    <row r="25" spans="1:19" s="3" customFormat="1" ht="15" customHeight="1" x14ac:dyDescent="0.25">
      <c r="A25" s="378"/>
      <c r="B25" s="24" t="s">
        <v>54</v>
      </c>
      <c r="C25" s="18"/>
      <c r="D25" s="18"/>
      <c r="E25" s="18"/>
      <c r="F25" s="24" t="s">
        <v>226</v>
      </c>
      <c r="G25" s="18"/>
      <c r="H25" s="24" t="s">
        <v>66</v>
      </c>
      <c r="I25" s="18"/>
      <c r="J25" s="18"/>
      <c r="K25" s="18"/>
      <c r="L25" s="24" t="s">
        <v>52</v>
      </c>
      <c r="M25" s="18"/>
      <c r="N25" s="117" t="s">
        <v>86</v>
      </c>
      <c r="O25" s="377"/>
      <c r="P25" s="2"/>
      <c r="R25" s="135"/>
      <c r="S25" s="135"/>
    </row>
    <row r="26" spans="1:19" s="3" customFormat="1" ht="15" customHeight="1" x14ac:dyDescent="0.25">
      <c r="A26" s="378"/>
      <c r="B26" s="21" t="e">
        <f>Volumebepaling!C24</f>
        <v>#DIV/0!</v>
      </c>
      <c r="C26" s="18"/>
      <c r="D26" s="18"/>
      <c r="E26" s="18"/>
      <c r="F26" s="22">
        <f>H21</f>
        <v>0</v>
      </c>
      <c r="G26" s="413"/>
      <c r="H26" s="47">
        <v>0.12</v>
      </c>
      <c r="I26" s="18"/>
      <c r="J26" s="18"/>
      <c r="K26" s="18"/>
      <c r="L26" s="92" t="e">
        <f>Volumebepaling!C27</f>
        <v>#DIV/0!</v>
      </c>
      <c r="M26" s="18"/>
      <c r="N26" s="118" t="e">
        <f>L26/(L26+L21+L31+L33)*100</f>
        <v>#DIV/0!</v>
      </c>
      <c r="O26" s="377"/>
      <c r="R26" s="136"/>
      <c r="S26" s="135"/>
    </row>
    <row r="27" spans="1:19" s="3" customFormat="1" ht="15" customHeight="1" x14ac:dyDescent="0.25">
      <c r="A27" s="378"/>
      <c r="B27" s="281"/>
      <c r="C27" s="18"/>
      <c r="D27" s="24"/>
      <c r="E27" s="24"/>
      <c r="F27" s="24"/>
      <c r="G27" s="18"/>
      <c r="H27" s="24"/>
      <c r="I27" s="18"/>
      <c r="J27" s="18"/>
      <c r="K27" s="18"/>
      <c r="L27" s="18"/>
      <c r="M27" s="18"/>
      <c r="N27" s="33"/>
      <c r="O27" s="377"/>
      <c r="R27" s="135"/>
      <c r="S27" s="135"/>
    </row>
    <row r="28" spans="1:19" s="3" customFormat="1" ht="15.75" customHeight="1" x14ac:dyDescent="0.25">
      <c r="A28" s="512" t="s">
        <v>208</v>
      </c>
      <c r="B28" s="513"/>
      <c r="C28" s="513"/>
      <c r="D28" s="513"/>
      <c r="E28" s="513"/>
      <c r="F28" s="513"/>
      <c r="G28" s="513"/>
      <c r="H28" s="513"/>
      <c r="I28" s="513"/>
      <c r="J28" s="513"/>
      <c r="K28" s="513"/>
      <c r="L28" s="513"/>
      <c r="M28" s="513"/>
      <c r="N28" s="513"/>
      <c r="O28" s="514"/>
      <c r="P28" s="2"/>
      <c r="R28" s="135"/>
      <c r="S28" s="135"/>
    </row>
    <row r="29" spans="1:19" s="3" customFormat="1" ht="6" customHeight="1" x14ac:dyDescent="0.25">
      <c r="A29" s="379"/>
      <c r="B29" s="34"/>
      <c r="C29" s="34"/>
      <c r="D29" s="34"/>
      <c r="E29" s="34"/>
      <c r="F29" s="34"/>
      <c r="G29" s="34"/>
      <c r="H29" s="34"/>
      <c r="I29" s="34"/>
      <c r="J29" s="34"/>
      <c r="K29" s="34"/>
      <c r="L29" s="34"/>
      <c r="M29" s="34"/>
      <c r="N29" s="34"/>
      <c r="O29" s="380"/>
      <c r="P29" s="2"/>
      <c r="R29" s="135"/>
      <c r="S29" s="135"/>
    </row>
    <row r="30" spans="1:19" s="3" customFormat="1" ht="15" customHeight="1" x14ac:dyDescent="0.25">
      <c r="A30" s="378"/>
      <c r="B30" s="24" t="s">
        <v>94</v>
      </c>
      <c r="C30" s="18"/>
      <c r="D30" s="18"/>
      <c r="E30" s="24"/>
      <c r="F30" s="411"/>
      <c r="G30" s="18"/>
      <c r="H30" s="315" t="s">
        <v>66</v>
      </c>
      <c r="I30" s="18"/>
      <c r="J30" s="18"/>
      <c r="K30" s="18"/>
      <c r="L30" s="24" t="s">
        <v>250</v>
      </c>
      <c r="M30" s="18"/>
      <c r="N30" s="108" t="s">
        <v>88</v>
      </c>
      <c r="O30" s="377"/>
      <c r="P30" s="2"/>
    </row>
    <row r="31" spans="1:19" s="3" customFormat="1" ht="15" customHeight="1" x14ac:dyDescent="0.25">
      <c r="A31" s="378"/>
      <c r="B31" s="33" t="e">
        <f>Volumebepaling!C33</f>
        <v>#DIV/0!</v>
      </c>
      <c r="C31" s="18"/>
      <c r="D31" s="18"/>
      <c r="E31" s="92"/>
      <c r="F31" s="411"/>
      <c r="G31" s="414"/>
      <c r="H31" s="22">
        <f>H26</f>
        <v>0.12</v>
      </c>
      <c r="I31" s="18"/>
      <c r="J31" s="18"/>
      <c r="K31" s="18"/>
      <c r="L31" s="92" t="e">
        <f>Volumebepaling!C36</f>
        <v>#DIV/0!</v>
      </c>
      <c r="M31" s="18"/>
      <c r="N31" s="21" t="e">
        <f>L31/(L26+L21+L31+L33)*100</f>
        <v>#DIV/0!</v>
      </c>
      <c r="O31" s="377"/>
      <c r="P31" s="2"/>
    </row>
    <row r="32" spans="1:19" s="3" customFormat="1" ht="15" customHeight="1" x14ac:dyDescent="0.25">
      <c r="A32" s="378"/>
      <c r="B32" s="23" t="s">
        <v>143</v>
      </c>
      <c r="C32" s="411"/>
      <c r="D32" s="37" t="s">
        <v>322</v>
      </c>
      <c r="E32" s="411"/>
      <c r="F32" s="411"/>
      <c r="G32" s="411"/>
      <c r="H32" s="411"/>
      <c r="I32" s="411"/>
      <c r="J32" s="411"/>
      <c r="K32" s="18"/>
      <c r="L32" s="134" t="s">
        <v>251</v>
      </c>
      <c r="M32" s="18"/>
      <c r="N32" s="179" t="s">
        <v>89</v>
      </c>
      <c r="O32" s="377"/>
      <c r="P32" s="2"/>
    </row>
    <row r="33" spans="1:18" s="3" customFormat="1" ht="15" customHeight="1" x14ac:dyDescent="0.25">
      <c r="A33" s="378"/>
      <c r="B33" s="48" t="s">
        <v>18</v>
      </c>
      <c r="D33" s="33">
        <f>Volumebepaling!C37</f>
        <v>1.34</v>
      </c>
      <c r="E33" s="411"/>
      <c r="F33" s="411"/>
      <c r="G33" s="411"/>
      <c r="H33" s="411"/>
      <c r="I33" s="411"/>
      <c r="J33" s="411"/>
      <c r="K33" s="18"/>
      <c r="L33" s="92">
        <f>Volumebepaling!C38</f>
        <v>0</v>
      </c>
      <c r="M33" s="18"/>
      <c r="N33" s="33" t="e">
        <f>L33/(L21+L26+L31+L33)*100</f>
        <v>#DIV/0!</v>
      </c>
      <c r="O33" s="377"/>
      <c r="P33" s="2"/>
    </row>
    <row r="34" spans="1:18" s="3" customFormat="1" ht="15" customHeight="1" x14ac:dyDescent="0.25">
      <c r="A34" s="378"/>
      <c r="B34" s="24" t="s">
        <v>194</v>
      </c>
      <c r="C34" s="18"/>
      <c r="D34" s="19" t="s">
        <v>199</v>
      </c>
      <c r="E34" s="18"/>
      <c r="F34" s="24" t="s">
        <v>245</v>
      </c>
      <c r="G34" s="18"/>
      <c r="H34" s="24" t="s">
        <v>244</v>
      </c>
      <c r="I34" s="411"/>
      <c r="J34" s="411"/>
      <c r="K34" s="18"/>
      <c r="L34" s="314" t="s">
        <v>227</v>
      </c>
      <c r="M34" s="18"/>
      <c r="N34" s="117" t="s">
        <v>183</v>
      </c>
      <c r="O34" s="377"/>
      <c r="P34" s="2"/>
    </row>
    <row r="35" spans="1:18" s="3" customFormat="1" ht="15" customHeight="1" x14ac:dyDescent="0.25">
      <c r="A35" s="378"/>
      <c r="B35" s="48" t="s">
        <v>196</v>
      </c>
      <c r="C35" s="18"/>
      <c r="D35" s="48">
        <v>15</v>
      </c>
      <c r="E35" s="18"/>
      <c r="F35" s="381" t="e">
        <f>(L31+L33)-(VLOOKUP(B35,Volumebepaling!B43:C45,2,FALSE))</f>
        <v>#DIV/0!</v>
      </c>
      <c r="G35" s="54"/>
      <c r="H35" s="91" t="e">
        <f>F35/(L31+L33)*100</f>
        <v>#DIV/0!</v>
      </c>
      <c r="I35" s="411"/>
      <c r="J35" s="411"/>
      <c r="K35" s="18"/>
      <c r="L35" s="92" t="e">
        <f>(L31+L33)-F35</f>
        <v>#DIV/0!</v>
      </c>
      <c r="M35" s="18"/>
      <c r="N35" s="118" t="e">
        <f>L35/(L21+L26+L31+L33)*100</f>
        <v>#DIV/0!</v>
      </c>
      <c r="O35" s="377"/>
      <c r="P35" s="85"/>
    </row>
    <row r="36" spans="1:18" s="3" customFormat="1" ht="15" customHeight="1" x14ac:dyDescent="0.25">
      <c r="A36" s="378"/>
      <c r="B36" s="18"/>
      <c r="C36" s="18"/>
      <c r="D36" s="290"/>
      <c r="E36" s="18"/>
      <c r="F36" s="24"/>
      <c r="G36" s="18"/>
      <c r="H36" s="18"/>
      <c r="I36" s="18"/>
      <c r="J36" s="18"/>
      <c r="K36" s="18"/>
      <c r="L36" s="18"/>
      <c r="M36" s="18"/>
      <c r="N36" s="282"/>
      <c r="O36" s="377"/>
      <c r="P36" s="2"/>
      <c r="R36" s="12"/>
    </row>
    <row r="37" spans="1:18" s="3" customFormat="1" ht="18" customHeight="1" x14ac:dyDescent="0.25">
      <c r="A37" s="527" t="s">
        <v>106</v>
      </c>
      <c r="B37" s="528"/>
      <c r="C37" s="528"/>
      <c r="D37" s="528"/>
      <c r="E37" s="528"/>
      <c r="F37" s="528"/>
      <c r="G37" s="528"/>
      <c r="H37" s="528"/>
      <c r="I37" s="528"/>
      <c r="J37" s="528"/>
      <c r="K37" s="528"/>
      <c r="L37" s="528"/>
      <c r="M37" s="528"/>
      <c r="N37" s="528"/>
      <c r="O37" s="529"/>
    </row>
    <row r="38" spans="1:18" s="3" customFormat="1" ht="6" customHeight="1" x14ac:dyDescent="0.25">
      <c r="A38" s="378"/>
      <c r="B38" s="18"/>
      <c r="C38" s="18"/>
      <c r="D38" s="283"/>
      <c r="E38" s="311"/>
      <c r="F38" s="311"/>
      <c r="G38" s="18"/>
      <c r="H38" s="24"/>
      <c r="I38" s="18"/>
      <c r="J38" s="18"/>
      <c r="K38" s="18"/>
      <c r="L38" s="18"/>
      <c r="M38" s="18"/>
      <c r="N38" s="18"/>
      <c r="O38" s="377"/>
    </row>
    <row r="39" spans="1:18" s="3" customFormat="1" ht="15" customHeight="1" x14ac:dyDescent="0.25">
      <c r="A39" s="379"/>
      <c r="B39" s="87"/>
      <c r="C39" s="18"/>
      <c r="D39" s="168" t="s">
        <v>28</v>
      </c>
      <c r="E39" s="168"/>
      <c r="F39" s="168" t="s">
        <v>27</v>
      </c>
      <c r="G39" s="18"/>
      <c r="H39" s="168" t="s">
        <v>113</v>
      </c>
      <c r="I39" s="18"/>
      <c r="J39" s="24" t="s">
        <v>85</v>
      </c>
      <c r="K39" s="18"/>
      <c r="L39" s="18"/>
      <c r="M39" s="18"/>
      <c r="N39" s="382" t="s">
        <v>157</v>
      </c>
      <c r="O39" s="383"/>
    </row>
    <row r="40" spans="1:18" s="3" customFormat="1" ht="15" customHeight="1" x14ac:dyDescent="0.25">
      <c r="A40" s="379"/>
      <c r="B40" s="93" t="s">
        <v>156</v>
      </c>
      <c r="C40" s="18"/>
      <c r="D40" s="25" t="e">
        <f>N40*N21/100</f>
        <v>#DIV/0!</v>
      </c>
      <c r="E40" s="415"/>
      <c r="F40" s="26" t="e">
        <f>N40*N26/100</f>
        <v>#DIV/0!</v>
      </c>
      <c r="G40" s="414"/>
      <c r="H40" s="27" t="e">
        <f>N40*N35/100</f>
        <v>#DIV/0!</v>
      </c>
      <c r="I40" s="414"/>
      <c r="J40" s="52" t="e">
        <f>N40-(D40+F40+H40)</f>
        <v>#DIV/0!</v>
      </c>
      <c r="K40" s="18"/>
      <c r="L40" s="18"/>
      <c r="M40" s="18"/>
      <c r="N40" s="112">
        <f>N12</f>
        <v>0</v>
      </c>
      <c r="O40" s="383"/>
      <c r="P40" s="178"/>
    </row>
    <row r="41" spans="1:18" s="3" customFormat="1" ht="15" customHeight="1" x14ac:dyDescent="0.25">
      <c r="A41" s="379"/>
      <c r="B41" s="93"/>
      <c r="C41" s="18"/>
      <c r="D41" s="177"/>
      <c r="E41" s="177"/>
      <c r="F41" s="177"/>
      <c r="G41" s="18"/>
      <c r="H41" s="177"/>
      <c r="I41" s="18"/>
      <c r="J41" s="177"/>
      <c r="K41" s="18"/>
      <c r="L41" s="179"/>
      <c r="M41" s="18"/>
      <c r="N41" s="33"/>
      <c r="O41" s="383"/>
      <c r="P41" s="90"/>
    </row>
    <row r="42" spans="1:18" s="3" customFormat="1" ht="15" customHeight="1" x14ac:dyDescent="0.25">
      <c r="A42" s="379"/>
      <c r="B42" s="87" t="s">
        <v>153</v>
      </c>
      <c r="C42" s="18"/>
      <c r="D42" s="548">
        <f>VLOOKUP(B14,Houtprijzen!A6:I21,8,FALSE)</f>
        <v>25</v>
      </c>
      <c r="E42" s="549"/>
      <c r="F42" s="549"/>
      <c r="G42" s="549"/>
      <c r="H42" s="550"/>
      <c r="I42" s="29"/>
      <c r="J42" s="29"/>
      <c r="K42" s="18"/>
      <c r="L42" s="280"/>
      <c r="M42" s="18"/>
      <c r="N42" s="126" t="s">
        <v>125</v>
      </c>
      <c r="O42" s="383"/>
      <c r="P42" s="90"/>
    </row>
    <row r="43" spans="1:18" s="3" customFormat="1" ht="15" customHeight="1" x14ac:dyDescent="0.25">
      <c r="A43" s="379"/>
      <c r="B43" s="93"/>
      <c r="C43" s="18"/>
      <c r="D43" s="177"/>
      <c r="E43" s="177"/>
      <c r="F43" s="177"/>
      <c r="G43" s="18"/>
      <c r="H43" s="177"/>
      <c r="I43" s="18"/>
      <c r="J43" s="177"/>
      <c r="K43" s="18"/>
      <c r="L43" s="18"/>
      <c r="M43" s="18"/>
      <c r="N43" s="112" t="e">
        <f>Volumebepaling!C53</f>
        <v>#DIV/0!</v>
      </c>
      <c r="O43" s="384"/>
      <c r="P43" s="90"/>
    </row>
    <row r="44" spans="1:18" s="3" customFormat="1" ht="15" customHeight="1" x14ac:dyDescent="0.25">
      <c r="A44" s="379"/>
      <c r="B44" s="94" t="s">
        <v>154</v>
      </c>
      <c r="C44" s="18"/>
      <c r="D44" s="317">
        <v>0</v>
      </c>
      <c r="E44" s="416"/>
      <c r="F44" s="106">
        <v>0</v>
      </c>
      <c r="G44" s="417"/>
      <c r="H44" s="106">
        <v>0</v>
      </c>
      <c r="I44" s="54"/>
      <c r="J44" s="18"/>
      <c r="K44" s="29"/>
      <c r="L44" s="385"/>
      <c r="M44" s="18"/>
      <c r="N44" s="18"/>
      <c r="O44" s="383"/>
    </row>
    <row r="45" spans="1:18" s="3" customFormat="1" ht="15" customHeight="1" x14ac:dyDescent="0.25">
      <c r="A45" s="379"/>
      <c r="B45" s="54"/>
      <c r="C45" s="18"/>
      <c r="D45" s="18"/>
      <c r="E45" s="18"/>
      <c r="F45" s="18"/>
      <c r="G45" s="18"/>
      <c r="H45" s="18"/>
      <c r="I45" s="18"/>
      <c r="J45" s="18"/>
      <c r="K45" s="18"/>
      <c r="L45" s="18"/>
      <c r="M45" s="18"/>
      <c r="N45" s="126" t="s">
        <v>92</v>
      </c>
      <c r="O45" s="383"/>
    </row>
    <row r="46" spans="1:18" s="3" customFormat="1" ht="15" customHeight="1" x14ac:dyDescent="0.25">
      <c r="A46" s="379"/>
      <c r="B46" s="87" t="s">
        <v>155</v>
      </c>
      <c r="C46" s="284"/>
      <c r="D46" s="548" t="e">
        <f>(D48+F48+H48)/(D40+F40+H40)</f>
        <v>#DIV/0!</v>
      </c>
      <c r="E46" s="549"/>
      <c r="F46" s="549"/>
      <c r="G46" s="549"/>
      <c r="H46" s="550"/>
      <c r="I46" s="29"/>
      <c r="J46" s="29"/>
      <c r="K46" s="18"/>
      <c r="L46" s="54"/>
      <c r="M46" s="18"/>
      <c r="N46" s="112" t="e">
        <f>Volumebepaling!E53</f>
        <v>#DIV/0!</v>
      </c>
      <c r="O46" s="383"/>
    </row>
    <row r="47" spans="1:18" s="3" customFormat="1" ht="15" customHeight="1" thickBot="1" x14ac:dyDescent="0.3">
      <c r="A47" s="379"/>
      <c r="B47" s="285"/>
      <c r="C47" s="285"/>
      <c r="D47" s="285"/>
      <c r="E47" s="285"/>
      <c r="F47" s="285"/>
      <c r="G47" s="285"/>
      <c r="H47" s="285"/>
      <c r="I47" s="285"/>
      <c r="J47" s="285"/>
      <c r="K47" s="285"/>
      <c r="L47" s="18"/>
      <c r="M47" s="18"/>
      <c r="N47" s="33"/>
      <c r="O47" s="383"/>
    </row>
    <row r="48" spans="1:18" s="3" customFormat="1" ht="15" customHeight="1" x14ac:dyDescent="0.25">
      <c r="A48" s="379"/>
      <c r="B48" s="130" t="s">
        <v>101</v>
      </c>
      <c r="C48" s="120"/>
      <c r="D48" s="316" t="e">
        <f>D40*D44</f>
        <v>#DIV/0!</v>
      </c>
      <c r="E48" s="113"/>
      <c r="F48" s="113" t="e">
        <f>F40*F44</f>
        <v>#DIV/0!</v>
      </c>
      <c r="G48" s="166"/>
      <c r="H48" s="113" t="e">
        <f>H40*H44</f>
        <v>#DIV/0!</v>
      </c>
      <c r="I48" s="167"/>
      <c r="J48" s="129" t="e">
        <f>-(J40*H44)</f>
        <v>#DIV/0!</v>
      </c>
      <c r="K48" s="120"/>
      <c r="L48" s="18"/>
      <c r="M48" s="18"/>
      <c r="N48" s="18"/>
      <c r="O48" s="383"/>
    </row>
    <row r="49" spans="1:22" s="3" customFormat="1" ht="15" customHeight="1" x14ac:dyDescent="0.25">
      <c r="A49" s="379"/>
      <c r="B49" s="18"/>
      <c r="C49" s="18"/>
      <c r="D49" s="18"/>
      <c r="E49" s="18"/>
      <c r="F49" s="18"/>
      <c r="G49" s="18"/>
      <c r="H49" s="18"/>
      <c r="I49" s="18"/>
      <c r="J49" s="18"/>
      <c r="K49" s="18"/>
      <c r="L49" s="18"/>
      <c r="M49" s="18"/>
      <c r="N49" s="54"/>
      <c r="O49" s="383"/>
    </row>
    <row r="50" spans="1:22" s="3" customFormat="1" ht="18.75" customHeight="1" x14ac:dyDescent="0.25">
      <c r="A50" s="386" t="s">
        <v>163</v>
      </c>
      <c r="B50" s="369"/>
      <c r="C50" s="369"/>
      <c r="D50" s="369"/>
      <c r="E50" s="369"/>
      <c r="F50" s="369"/>
      <c r="G50" s="369"/>
      <c r="H50" s="369"/>
      <c r="I50" s="369"/>
      <c r="J50" s="369"/>
      <c r="K50" s="369"/>
      <c r="L50" s="369"/>
      <c r="M50" s="369"/>
      <c r="N50" s="369"/>
      <c r="O50" s="387"/>
      <c r="P50" s="2"/>
    </row>
    <row r="51" spans="1:22" s="3" customFormat="1" ht="15.75" customHeight="1" x14ac:dyDescent="0.25">
      <c r="A51" s="512" t="s">
        <v>209</v>
      </c>
      <c r="B51" s="513"/>
      <c r="C51" s="513"/>
      <c r="D51" s="513"/>
      <c r="E51" s="513"/>
      <c r="F51" s="513"/>
      <c r="G51" s="513"/>
      <c r="H51" s="513"/>
      <c r="I51" s="513"/>
      <c r="J51" s="513"/>
      <c r="K51" s="513"/>
      <c r="L51" s="513"/>
      <c r="M51" s="513"/>
      <c r="N51" s="513"/>
      <c r="O51" s="514"/>
      <c r="P51" s="2"/>
      <c r="Q51" s="2"/>
      <c r="R51" s="54"/>
      <c r="S51" s="2"/>
      <c r="T51" s="55"/>
      <c r="U51" s="2"/>
      <c r="V51" s="2"/>
    </row>
    <row r="52" spans="1:22" s="3" customFormat="1" ht="6" customHeight="1" x14ac:dyDescent="0.25">
      <c r="A52" s="521"/>
      <c r="B52" s="522"/>
      <c r="C52" s="522"/>
      <c r="D52" s="522"/>
      <c r="E52" s="522"/>
      <c r="F52" s="522"/>
      <c r="G52" s="522"/>
      <c r="H52" s="522"/>
      <c r="I52" s="522"/>
      <c r="J52" s="522"/>
      <c r="K52" s="522"/>
      <c r="L52" s="522"/>
      <c r="M52" s="522"/>
      <c r="N52" s="522"/>
      <c r="O52" s="523"/>
      <c r="P52" s="2"/>
      <c r="R52" s="2"/>
      <c r="S52" s="2"/>
      <c r="T52" s="2"/>
      <c r="U52" s="2"/>
      <c r="V52" s="2"/>
    </row>
    <row r="53" spans="1:22" s="3" customFormat="1" ht="15" customHeight="1" x14ac:dyDescent="0.25">
      <c r="A53" s="379"/>
      <c r="B53" s="83" t="s">
        <v>33</v>
      </c>
      <c r="C53" s="18"/>
      <c r="D53" s="24" t="s">
        <v>247</v>
      </c>
      <c r="E53" s="325"/>
      <c r="F53" s="318" t="s">
        <v>221</v>
      </c>
      <c r="G53" s="24"/>
      <c r="H53" s="146" t="s">
        <v>120</v>
      </c>
      <c r="I53" s="139"/>
      <c r="J53" s="169" t="s">
        <v>127</v>
      </c>
      <c r="K53" s="139"/>
      <c r="L53" s="146" t="s">
        <v>29</v>
      </c>
      <c r="M53" s="115"/>
      <c r="N53" s="114" t="s">
        <v>99</v>
      </c>
      <c r="O53" s="380"/>
      <c r="P53" s="2"/>
    </row>
    <row r="54" spans="1:22" s="3" customFormat="1" ht="15" customHeight="1" x14ac:dyDescent="0.25">
      <c r="A54" s="379"/>
      <c r="B54" s="49" t="s">
        <v>20</v>
      </c>
      <c r="C54" s="414"/>
      <c r="D54" s="339">
        <v>0</v>
      </c>
      <c r="E54" s="323"/>
      <c r="F54" s="148">
        <f>VLOOKUP(B54,'Algemeen en kostprijzen'!A27:C32,2,FALSE)</f>
        <v>35</v>
      </c>
      <c r="G54" s="35"/>
      <c r="H54" s="148" t="e">
        <f>N54/B12</f>
        <v>#DIV/0!</v>
      </c>
      <c r="I54" s="139"/>
      <c r="J54" s="113" t="e">
        <f>N54/J66</f>
        <v>#DIV/0!</v>
      </c>
      <c r="K54" s="139"/>
      <c r="L54" s="148" t="e">
        <f>N54/D40</f>
        <v>#DIV/0!</v>
      </c>
      <c r="M54" s="116"/>
      <c r="N54" s="113">
        <f>F54*D54</f>
        <v>0</v>
      </c>
      <c r="O54" s="380"/>
    </row>
    <row r="55" spans="1:22" s="3" customFormat="1" ht="15" customHeight="1" x14ac:dyDescent="0.25">
      <c r="A55" s="378"/>
      <c r="B55" s="89" t="s">
        <v>17</v>
      </c>
      <c r="C55" s="18"/>
      <c r="D55" s="18"/>
      <c r="E55" s="322"/>
      <c r="F55" s="321"/>
      <c r="G55" s="18"/>
      <c r="H55" s="147"/>
      <c r="I55" s="139"/>
      <c r="J55" s="170"/>
      <c r="K55" s="139"/>
      <c r="L55" s="145"/>
      <c r="M55" s="110"/>
      <c r="N55" s="111" t="s">
        <v>272</v>
      </c>
      <c r="O55" s="377"/>
    </row>
    <row r="56" spans="1:22" s="3" customFormat="1" x14ac:dyDescent="0.25">
      <c r="A56" s="378"/>
      <c r="B56" s="88" t="s">
        <v>83</v>
      </c>
      <c r="C56" s="414"/>
      <c r="D56" s="339">
        <v>0</v>
      </c>
      <c r="E56" s="324"/>
      <c r="F56" s="148">
        <f>VLOOKUP(B56,'Algemeen en kostprijzen'!A35:C39,2,FALSE)</f>
        <v>70</v>
      </c>
      <c r="G56" s="23"/>
      <c r="H56" s="148" t="e">
        <f>N56/B12</f>
        <v>#DIV/0!</v>
      </c>
      <c r="I56" s="139"/>
      <c r="J56" s="113" t="e">
        <f>N56/J66</f>
        <v>#DIV/0!</v>
      </c>
      <c r="K56" s="139"/>
      <c r="L56" s="148" t="e">
        <f>N56/D40</f>
        <v>#DIV/0!</v>
      </c>
      <c r="M56" s="110"/>
      <c r="N56" s="113">
        <f>F56*D56</f>
        <v>0</v>
      </c>
      <c r="O56" s="377"/>
    </row>
    <row r="57" spans="1:22" x14ac:dyDescent="0.25">
      <c r="A57" s="378"/>
      <c r="B57" s="286" t="s">
        <v>98</v>
      </c>
      <c r="C57" s="18"/>
      <c r="D57" s="287"/>
      <c r="E57" s="322"/>
      <c r="F57" s="321"/>
      <c r="G57" s="18"/>
      <c r="H57" s="147"/>
      <c r="I57" s="138"/>
      <c r="J57" s="112"/>
      <c r="K57" s="138"/>
      <c r="L57" s="145"/>
      <c r="M57" s="110"/>
      <c r="N57" s="120"/>
      <c r="O57" s="377"/>
    </row>
    <row r="58" spans="1:22" x14ac:dyDescent="0.25">
      <c r="A58" s="378"/>
      <c r="B58" s="96">
        <v>0</v>
      </c>
      <c r="C58" s="18"/>
      <c r="D58" s="18"/>
      <c r="E58" s="322"/>
      <c r="F58" s="320" t="s">
        <v>221</v>
      </c>
      <c r="G58" s="18"/>
      <c r="H58" s="147" t="s">
        <v>120</v>
      </c>
      <c r="I58" s="388"/>
      <c r="J58" s="382" t="s">
        <v>127</v>
      </c>
      <c r="K58" s="388"/>
      <c r="L58" s="147" t="s">
        <v>29</v>
      </c>
      <c r="M58" s="288"/>
      <c r="N58" s="117" t="s">
        <v>229</v>
      </c>
      <c r="O58" s="377"/>
    </row>
    <row r="59" spans="1:22" x14ac:dyDescent="0.25">
      <c r="A59" s="378"/>
      <c r="B59" s="24"/>
      <c r="C59" s="18"/>
      <c r="D59" s="18"/>
      <c r="E59" s="322"/>
      <c r="F59" s="148">
        <f>F54+F56</f>
        <v>105</v>
      </c>
      <c r="G59" s="31"/>
      <c r="H59" s="148" t="e">
        <f>H54+H56</f>
        <v>#DIV/0!</v>
      </c>
      <c r="I59" s="289"/>
      <c r="J59" s="113" t="e">
        <f>J54+J56</f>
        <v>#DIV/0!</v>
      </c>
      <c r="K59" s="289"/>
      <c r="L59" s="148" t="e">
        <f>L54+L56</f>
        <v>#DIV/0!</v>
      </c>
      <c r="M59" s="110"/>
      <c r="N59" s="113">
        <f>N54+N56+B58</f>
        <v>0</v>
      </c>
      <c r="O59" s="377"/>
    </row>
    <row r="60" spans="1:22" x14ac:dyDescent="0.25">
      <c r="A60" s="389"/>
      <c r="B60" s="19"/>
      <c r="C60" s="290"/>
      <c r="D60" s="290"/>
      <c r="E60" s="290"/>
      <c r="F60" s="290"/>
      <c r="G60" s="290"/>
      <c r="H60" s="291"/>
      <c r="I60" s="292"/>
      <c r="J60" s="292"/>
      <c r="K60" s="292"/>
      <c r="L60" s="290"/>
      <c r="M60" s="293"/>
      <c r="N60" s="294"/>
      <c r="O60" s="390"/>
    </row>
    <row r="61" spans="1:22" ht="15.75" customHeight="1" x14ac:dyDescent="0.25">
      <c r="A61" s="512" t="s">
        <v>210</v>
      </c>
      <c r="B61" s="513"/>
      <c r="C61" s="513"/>
      <c r="D61" s="513"/>
      <c r="E61" s="513"/>
      <c r="F61" s="513"/>
      <c r="G61" s="513"/>
      <c r="H61" s="513"/>
      <c r="I61" s="513"/>
      <c r="J61" s="513"/>
      <c r="K61" s="513"/>
      <c r="L61" s="513"/>
      <c r="M61" s="513"/>
      <c r="N61" s="513"/>
      <c r="O61" s="514"/>
    </row>
    <row r="62" spans="1:22" ht="6" customHeight="1" x14ac:dyDescent="0.25">
      <c r="A62" s="391"/>
      <c r="B62" s="287"/>
      <c r="C62" s="287"/>
      <c r="D62" s="287"/>
      <c r="E62" s="287"/>
      <c r="F62" s="287"/>
      <c r="G62" s="287"/>
      <c r="H62" s="287"/>
      <c r="I62" s="287"/>
      <c r="J62" s="287"/>
      <c r="K62" s="287"/>
      <c r="L62" s="287"/>
      <c r="M62" s="287"/>
      <c r="N62" s="287"/>
      <c r="O62" s="392"/>
    </row>
    <row r="63" spans="1:22" ht="15" customHeight="1" x14ac:dyDescent="0.25">
      <c r="A63" s="375"/>
      <c r="B63" s="19" t="s">
        <v>220</v>
      </c>
      <c r="C63" s="36"/>
      <c r="D63" s="35" t="s">
        <v>22</v>
      </c>
      <c r="E63" s="35"/>
      <c r="F63" s="35" t="s">
        <v>218</v>
      </c>
      <c r="G63" s="36"/>
      <c r="H63" s="24" t="s">
        <v>216</v>
      </c>
      <c r="I63" s="36"/>
      <c r="J63" s="24" t="s">
        <v>8</v>
      </c>
      <c r="K63" s="36"/>
      <c r="L63" s="24" t="s">
        <v>9</v>
      </c>
      <c r="M63" s="18"/>
      <c r="N63" s="35" t="s">
        <v>24</v>
      </c>
      <c r="O63" s="393"/>
      <c r="P63" s="1"/>
    </row>
    <row r="64" spans="1:22" ht="15" customHeight="1" x14ac:dyDescent="0.25">
      <c r="A64" s="375"/>
      <c r="B64" s="50">
        <v>0</v>
      </c>
      <c r="C64" s="36"/>
      <c r="D64" s="50" t="s">
        <v>307</v>
      </c>
      <c r="E64" s="28"/>
      <c r="F64" s="28">
        <f>VLOOKUP(D64,'Algemeen en kostprijzen'!A53:D56,3,FALSE)</f>
        <v>1.1666666666666667</v>
      </c>
      <c r="G64" s="18"/>
      <c r="H64" s="28">
        <f>B64*F64</f>
        <v>0</v>
      </c>
      <c r="I64" s="36"/>
      <c r="J64" s="33" t="e">
        <f>(J66/D66)</f>
        <v>#DIV/0!</v>
      </c>
      <c r="K64" s="39"/>
      <c r="L64" s="42" t="e">
        <f>_xlfn.CEILING.PRECISE(J64)</f>
        <v>#DIV/0!</v>
      </c>
      <c r="M64" s="40"/>
      <c r="N64" s="28">
        <f>H64+H66</f>
        <v>0</v>
      </c>
      <c r="O64" s="394"/>
      <c r="P64" s="1"/>
      <c r="Q64" s="140"/>
    </row>
    <row r="65" spans="1:16" ht="15" customHeight="1" x14ac:dyDescent="0.25">
      <c r="A65" s="378"/>
      <c r="B65" s="35" t="s">
        <v>219</v>
      </c>
      <c r="C65" s="18"/>
      <c r="D65" s="37" t="s">
        <v>32</v>
      </c>
      <c r="E65" s="24"/>
      <c r="F65" s="83" t="s">
        <v>217</v>
      </c>
      <c r="G65" s="36"/>
      <c r="H65" s="24" t="s">
        <v>23</v>
      </c>
      <c r="I65" s="18"/>
      <c r="J65" s="24" t="s">
        <v>31</v>
      </c>
      <c r="K65" s="18"/>
      <c r="L65" s="24" t="s">
        <v>124</v>
      </c>
      <c r="M65" s="18"/>
      <c r="N65" s="24"/>
      <c r="O65" s="394"/>
    </row>
    <row r="66" spans="1:16" ht="15" customHeight="1" x14ac:dyDescent="0.25">
      <c r="A66" s="378"/>
      <c r="B66" s="49">
        <v>0</v>
      </c>
      <c r="C66" s="18"/>
      <c r="D66" s="91">
        <f>VLOOKUP(D64,'Algemeen en kostprijzen'!A53:D56,4,FALSE)</f>
        <v>24</v>
      </c>
      <c r="E66" s="28"/>
      <c r="F66" s="28">
        <f>'Algemeen en kostprijzen'!C68</f>
        <v>0.58333333333333337</v>
      </c>
      <c r="G66" s="18"/>
      <c r="H66" s="395">
        <f>B66*F66</f>
        <v>0</v>
      </c>
      <c r="I66" s="31"/>
      <c r="J66" s="33" t="e">
        <f>D40*(H14/1000)</f>
        <v>#DIV/0!</v>
      </c>
      <c r="K66" s="31"/>
      <c r="L66" s="33" t="e">
        <f>D40</f>
        <v>#DIV/0!</v>
      </c>
      <c r="M66" s="57"/>
      <c r="N66" s="28"/>
      <c r="O66" s="396"/>
      <c r="P66" s="1"/>
    </row>
    <row r="67" spans="1:16" ht="15" customHeight="1" x14ac:dyDescent="0.25">
      <c r="A67" s="378"/>
      <c r="B67" s="18"/>
      <c r="C67" s="18"/>
      <c r="D67" s="18"/>
      <c r="E67" s="37"/>
      <c r="F67" s="18"/>
      <c r="G67" s="18"/>
      <c r="H67" s="18"/>
      <c r="I67" s="18"/>
      <c r="J67" s="18"/>
      <c r="K67" s="18"/>
      <c r="L67" s="18"/>
      <c r="M67" s="18"/>
      <c r="N67" s="18"/>
      <c r="O67" s="396"/>
      <c r="P67" s="1"/>
    </row>
    <row r="68" spans="1:16" s="3" customFormat="1" ht="15" customHeight="1" x14ac:dyDescent="0.25">
      <c r="A68" s="378"/>
      <c r="B68" s="18"/>
      <c r="C68" s="18"/>
      <c r="D68" s="18"/>
      <c r="E68" s="18"/>
      <c r="F68" s="18"/>
      <c r="G68" s="18"/>
      <c r="H68" s="382" t="s">
        <v>221</v>
      </c>
      <c r="I68" s="137"/>
      <c r="J68" s="147" t="s">
        <v>127</v>
      </c>
      <c r="K68" s="137"/>
      <c r="L68" s="147" t="s">
        <v>128</v>
      </c>
      <c r="M68" s="18"/>
      <c r="N68" s="117" t="s">
        <v>123</v>
      </c>
      <c r="O68" s="383"/>
      <c r="P68" s="2"/>
    </row>
    <row r="69" spans="1:16" s="3" customFormat="1" ht="15" customHeight="1" x14ac:dyDescent="0.25">
      <c r="A69" s="378"/>
      <c r="B69" s="18"/>
      <c r="C69" s="18"/>
      <c r="D69" s="18"/>
      <c r="E69" s="18"/>
      <c r="F69" s="18"/>
      <c r="G69" s="18"/>
      <c r="H69" s="113" t="e">
        <f>(N69/(B64+B66))*60</f>
        <v>#DIV/0!</v>
      </c>
      <c r="I69" s="138"/>
      <c r="J69" s="148" t="e">
        <f>N69/J66</f>
        <v>#DIV/0!</v>
      </c>
      <c r="K69" s="138"/>
      <c r="L69" s="148" t="e">
        <f>N69/D40</f>
        <v>#DIV/0!</v>
      </c>
      <c r="M69" s="18"/>
      <c r="N69" s="113" t="e">
        <f>N64*L64</f>
        <v>#DIV/0!</v>
      </c>
      <c r="O69" s="383"/>
      <c r="P69" s="2"/>
    </row>
    <row r="70" spans="1:16" s="3" customFormat="1" ht="15" customHeight="1" x14ac:dyDescent="0.25">
      <c r="A70" s="389"/>
      <c r="B70" s="18"/>
      <c r="C70" s="18"/>
      <c r="D70" s="18"/>
      <c r="E70" s="18"/>
      <c r="F70" s="54"/>
      <c r="G70" s="18"/>
      <c r="H70" s="18"/>
      <c r="I70" s="18"/>
      <c r="J70" s="18"/>
      <c r="K70" s="18"/>
      <c r="L70" s="18"/>
      <c r="M70" s="295"/>
      <c r="N70" s="18"/>
      <c r="O70" s="383"/>
      <c r="P70" s="2"/>
    </row>
    <row r="71" spans="1:16" ht="18.75" customHeight="1" x14ac:dyDescent="0.25">
      <c r="A71" s="386" t="s">
        <v>164</v>
      </c>
      <c r="B71" s="369"/>
      <c r="C71" s="369"/>
      <c r="D71" s="369"/>
      <c r="E71" s="369"/>
      <c r="F71" s="369"/>
      <c r="G71" s="369"/>
      <c r="H71" s="369"/>
      <c r="I71" s="369"/>
      <c r="J71" s="369"/>
      <c r="K71" s="369"/>
      <c r="L71" s="369"/>
      <c r="M71" s="369"/>
      <c r="N71" s="369"/>
      <c r="O71" s="387"/>
      <c r="P71" s="1"/>
    </row>
    <row r="72" spans="1:16" ht="15.75" customHeight="1" x14ac:dyDescent="0.25">
      <c r="A72" s="551" t="s">
        <v>211</v>
      </c>
      <c r="B72" s="552"/>
      <c r="C72" s="552"/>
      <c r="D72" s="552"/>
      <c r="E72" s="552"/>
      <c r="F72" s="552"/>
      <c r="G72" s="552"/>
      <c r="H72" s="552"/>
      <c r="I72" s="552"/>
      <c r="J72" s="552"/>
      <c r="K72" s="552"/>
      <c r="L72" s="552"/>
      <c r="M72" s="552"/>
      <c r="N72" s="552"/>
      <c r="O72" s="553"/>
      <c r="P72" s="1"/>
    </row>
    <row r="73" spans="1:16" ht="6" customHeight="1" x14ac:dyDescent="0.25">
      <c r="A73" s="521"/>
      <c r="B73" s="522"/>
      <c r="C73" s="522"/>
      <c r="D73" s="522"/>
      <c r="E73" s="522"/>
      <c r="F73" s="522"/>
      <c r="G73" s="522"/>
      <c r="H73" s="522"/>
      <c r="I73" s="522"/>
      <c r="J73" s="522"/>
      <c r="K73" s="522"/>
      <c r="L73" s="522"/>
      <c r="M73" s="522"/>
      <c r="N73" s="522"/>
      <c r="O73" s="523"/>
      <c r="P73" s="1"/>
    </row>
    <row r="74" spans="1:16" ht="15" customHeight="1" x14ac:dyDescent="0.25">
      <c r="A74" s="379"/>
      <c r="B74" s="83" t="s">
        <v>33</v>
      </c>
      <c r="C74" s="18"/>
      <c r="D74" s="24" t="s">
        <v>247</v>
      </c>
      <c r="E74" s="325"/>
      <c r="F74" s="318" t="s">
        <v>221</v>
      </c>
      <c r="G74" s="24"/>
      <c r="H74" s="146" t="s">
        <v>120</v>
      </c>
      <c r="I74" s="139"/>
      <c r="J74" s="169" t="s">
        <v>127</v>
      </c>
      <c r="K74" s="139"/>
      <c r="L74" s="146" t="s">
        <v>29</v>
      </c>
      <c r="M74" s="116"/>
      <c r="N74" s="114" t="s">
        <v>99</v>
      </c>
      <c r="O74" s="380"/>
      <c r="P74" s="1"/>
    </row>
    <row r="75" spans="1:16" ht="15" customHeight="1" x14ac:dyDescent="0.25">
      <c r="A75" s="379"/>
      <c r="B75" s="49" t="s">
        <v>20</v>
      </c>
      <c r="C75" s="414"/>
      <c r="D75" s="339">
        <v>0</v>
      </c>
      <c r="E75" s="323"/>
      <c r="F75" s="148">
        <f>VLOOKUP(B75,'Algemeen en kostprijzen'!A27:C32,2,FALSE)</f>
        <v>35</v>
      </c>
      <c r="G75" s="35"/>
      <c r="H75" s="148" t="e">
        <f>N75/B12</f>
        <v>#DIV/0!</v>
      </c>
      <c r="I75" s="139"/>
      <c r="J75" s="113" t="e">
        <f>N75/J87</f>
        <v>#DIV/0!</v>
      </c>
      <c r="K75" s="139"/>
      <c r="L75" s="148" t="e">
        <f>N75/F40</f>
        <v>#DIV/0!</v>
      </c>
      <c r="M75" s="116"/>
      <c r="N75" s="113">
        <f>F75*D75</f>
        <v>0</v>
      </c>
      <c r="O75" s="380"/>
      <c r="P75" s="141"/>
    </row>
    <row r="76" spans="1:16" x14ac:dyDescent="0.25">
      <c r="A76" s="378"/>
      <c r="B76" s="89" t="s">
        <v>17</v>
      </c>
      <c r="C76" s="18"/>
      <c r="D76" s="340"/>
      <c r="E76" s="322"/>
      <c r="F76" s="319"/>
      <c r="G76" s="18"/>
      <c r="H76" s="149"/>
      <c r="I76" s="139"/>
      <c r="J76" s="170"/>
      <c r="K76" s="139"/>
      <c r="L76" s="146"/>
      <c r="M76" s="105"/>
      <c r="N76" s="111" t="s">
        <v>272</v>
      </c>
      <c r="O76" s="377"/>
      <c r="P76" s="1"/>
    </row>
    <row r="77" spans="1:16" x14ac:dyDescent="0.25">
      <c r="A77" s="378"/>
      <c r="B77" s="46" t="s">
        <v>83</v>
      </c>
      <c r="C77" s="414"/>
      <c r="D77" s="339">
        <v>0</v>
      </c>
      <c r="E77" s="324"/>
      <c r="F77" s="148">
        <f>VLOOKUP(B77,'Algemeen en kostprijzen'!A35:C39,2,FALSE)</f>
        <v>70</v>
      </c>
      <c r="G77" s="23"/>
      <c r="H77" s="148" t="e">
        <f>N77/B12</f>
        <v>#DIV/0!</v>
      </c>
      <c r="I77" s="110"/>
      <c r="J77" s="113" t="e">
        <f>N77/J87</f>
        <v>#DIV/0!</v>
      </c>
      <c r="K77" s="110"/>
      <c r="L77" s="148" t="e">
        <f>N77/F40</f>
        <v>#DIV/0!</v>
      </c>
      <c r="M77" s="105"/>
      <c r="N77" s="113">
        <f>F77*D77</f>
        <v>0</v>
      </c>
      <c r="O77" s="377"/>
      <c r="P77" s="1"/>
    </row>
    <row r="78" spans="1:16" x14ac:dyDescent="0.25">
      <c r="A78" s="378"/>
      <c r="B78" s="286" t="s">
        <v>98</v>
      </c>
      <c r="C78" s="18"/>
      <c r="D78" s="18"/>
      <c r="E78" s="322"/>
      <c r="F78" s="319"/>
      <c r="G78" s="18"/>
      <c r="H78" s="397"/>
      <c r="I78" s="139"/>
      <c r="J78" s="112"/>
      <c r="K78" s="139"/>
      <c r="L78" s="397"/>
      <c r="M78" s="105"/>
      <c r="N78" s="120"/>
      <c r="O78" s="377"/>
      <c r="P78" s="1"/>
    </row>
    <row r="79" spans="1:16" x14ac:dyDescent="0.25">
      <c r="A79" s="378"/>
      <c r="B79" s="96">
        <v>0</v>
      </c>
      <c r="C79" s="18"/>
      <c r="D79" s="18"/>
      <c r="E79" s="322"/>
      <c r="F79" s="320" t="s">
        <v>221</v>
      </c>
      <c r="G79" s="18"/>
      <c r="H79" s="147" t="s">
        <v>120</v>
      </c>
      <c r="I79" s="388"/>
      <c r="J79" s="382" t="s">
        <v>127</v>
      </c>
      <c r="K79" s="388"/>
      <c r="L79" s="147" t="s">
        <v>29</v>
      </c>
      <c r="M79" s="296"/>
      <c r="N79" s="117" t="s">
        <v>122</v>
      </c>
      <c r="O79" s="377"/>
      <c r="P79" s="1"/>
    </row>
    <row r="80" spans="1:16" x14ac:dyDescent="0.25">
      <c r="A80" s="378"/>
      <c r="B80" s="24"/>
      <c r="C80" s="18"/>
      <c r="D80" s="18"/>
      <c r="E80" s="322"/>
      <c r="F80" s="148">
        <f>F75+F77</f>
        <v>105</v>
      </c>
      <c r="G80" s="18"/>
      <c r="H80" s="148" t="e">
        <f>H75+H77</f>
        <v>#DIV/0!</v>
      </c>
      <c r="I80" s="139"/>
      <c r="J80" s="113" t="e">
        <f>J75+J77</f>
        <v>#DIV/0!</v>
      </c>
      <c r="K80" s="139"/>
      <c r="L80" s="148" t="e">
        <f>L75+L77</f>
        <v>#DIV/0!</v>
      </c>
      <c r="M80" s="105"/>
      <c r="N80" s="113">
        <f>N75+N77+B79</f>
        <v>0</v>
      </c>
      <c r="O80" s="377"/>
      <c r="P80" s="1"/>
    </row>
    <row r="81" spans="1:16" x14ac:dyDescent="0.25">
      <c r="A81" s="378"/>
      <c r="B81" s="183"/>
      <c r="C81" s="18"/>
      <c r="D81" s="18"/>
      <c r="E81" s="322"/>
      <c r="F81" s="18"/>
      <c r="G81" s="18"/>
      <c r="H81" s="24"/>
      <c r="I81" s="18"/>
      <c r="J81" s="18"/>
      <c r="K81" s="18"/>
      <c r="L81" s="18"/>
      <c r="M81" s="18"/>
      <c r="N81" s="24"/>
      <c r="O81" s="377"/>
      <c r="P81" s="1"/>
    </row>
    <row r="82" spans="1:16" ht="15.75" customHeight="1" x14ac:dyDescent="0.25">
      <c r="A82" s="512" t="s">
        <v>212</v>
      </c>
      <c r="B82" s="513"/>
      <c r="C82" s="513"/>
      <c r="D82" s="513"/>
      <c r="E82" s="513"/>
      <c r="F82" s="513"/>
      <c r="G82" s="513"/>
      <c r="H82" s="513"/>
      <c r="I82" s="513"/>
      <c r="J82" s="513"/>
      <c r="K82" s="513"/>
      <c r="L82" s="513"/>
      <c r="M82" s="513"/>
      <c r="N82" s="513"/>
      <c r="O82" s="514"/>
    </row>
    <row r="83" spans="1:16" ht="6" customHeight="1" x14ac:dyDescent="0.25">
      <c r="A83" s="391"/>
      <c r="B83" s="18"/>
      <c r="C83" s="18"/>
      <c r="D83" s="18"/>
      <c r="E83" s="18"/>
      <c r="F83" s="18"/>
      <c r="G83" s="18"/>
      <c r="H83" s="18"/>
      <c r="I83" s="18"/>
      <c r="J83" s="18"/>
      <c r="K83" s="18"/>
      <c r="L83" s="18"/>
      <c r="M83" s="18"/>
      <c r="N83" s="18"/>
      <c r="O83" s="392"/>
      <c r="P83" s="1"/>
    </row>
    <row r="84" spans="1:16" ht="15" customHeight="1" x14ac:dyDescent="0.25">
      <c r="A84" s="375"/>
      <c r="B84" s="19" t="s">
        <v>220</v>
      </c>
      <c r="C84" s="36"/>
      <c r="D84" s="35" t="s">
        <v>22</v>
      </c>
      <c r="E84" s="35"/>
      <c r="F84" s="35" t="s">
        <v>218</v>
      </c>
      <c r="G84" s="18"/>
      <c r="H84" s="35" t="s">
        <v>216</v>
      </c>
      <c r="I84" s="36"/>
      <c r="J84" s="24" t="s">
        <v>8</v>
      </c>
      <c r="K84" s="36"/>
      <c r="L84" s="24" t="s">
        <v>9</v>
      </c>
      <c r="M84" s="18"/>
      <c r="N84" s="35" t="s">
        <v>24</v>
      </c>
      <c r="O84" s="393"/>
      <c r="P84" s="1"/>
    </row>
    <row r="85" spans="1:16" ht="15" customHeight="1" x14ac:dyDescent="0.25">
      <c r="A85" s="375"/>
      <c r="B85" s="50">
        <v>0</v>
      </c>
      <c r="C85" s="38"/>
      <c r="D85" s="50" t="s">
        <v>307</v>
      </c>
      <c r="E85" s="28"/>
      <c r="F85" s="28">
        <f>VLOOKUP(D85,'Algemeen en kostprijzen'!A53:D56,3,FALSE)</f>
        <v>1.1666666666666667</v>
      </c>
      <c r="G85" s="18"/>
      <c r="H85" s="398">
        <f>B85*F85</f>
        <v>0</v>
      </c>
      <c r="I85" s="36"/>
      <c r="J85" s="33" t="e">
        <f>(J87/D87)</f>
        <v>#DIV/0!</v>
      </c>
      <c r="K85" s="39"/>
      <c r="L85" s="42" t="e">
        <f>_xlfn.CEILING.PRECISE(J85)</f>
        <v>#DIV/0!</v>
      </c>
      <c r="M85" s="40"/>
      <c r="N85" s="28">
        <f>H85+H87</f>
        <v>0</v>
      </c>
      <c r="O85" s="394"/>
      <c r="P85" s="1"/>
    </row>
    <row r="86" spans="1:16" s="3" customFormat="1" ht="15" customHeight="1" x14ac:dyDescent="0.25">
      <c r="A86" s="378"/>
      <c r="B86" s="35" t="s">
        <v>219</v>
      </c>
      <c r="C86" s="36"/>
      <c r="D86" s="37" t="s">
        <v>32</v>
      </c>
      <c r="E86" s="83"/>
      <c r="F86" s="83" t="s">
        <v>217</v>
      </c>
      <c r="G86" s="36"/>
      <c r="H86" s="24" t="s">
        <v>23</v>
      </c>
      <c r="I86" s="18"/>
      <c r="J86" s="24" t="s">
        <v>31</v>
      </c>
      <c r="K86" s="18"/>
      <c r="L86" s="24" t="s">
        <v>124</v>
      </c>
      <c r="M86" s="18"/>
      <c r="N86" s="24"/>
      <c r="O86" s="394"/>
      <c r="P86" s="2"/>
    </row>
    <row r="87" spans="1:16" s="3" customFormat="1" ht="15" customHeight="1" x14ac:dyDescent="0.25">
      <c r="A87" s="378"/>
      <c r="B87" s="49">
        <v>0</v>
      </c>
      <c r="C87" s="36"/>
      <c r="D87" s="91">
        <f>VLOOKUP(D85,'Algemeen en kostprijzen'!A53:D56,4,FALSE)</f>
        <v>24</v>
      </c>
      <c r="E87" s="28"/>
      <c r="F87" s="28">
        <f>'Algemeen en kostprijzen'!C68</f>
        <v>0.58333333333333337</v>
      </c>
      <c r="G87" s="18"/>
      <c r="H87" s="28">
        <f>B87*F87</f>
        <v>0</v>
      </c>
      <c r="I87" s="31"/>
      <c r="J87" s="33" t="e">
        <f>F40*(H14/1000)</f>
        <v>#DIV/0!</v>
      </c>
      <c r="K87" s="31"/>
      <c r="L87" s="33" t="e">
        <f>F40</f>
        <v>#DIV/0!</v>
      </c>
      <c r="M87" s="57"/>
      <c r="N87" s="28"/>
      <c r="O87" s="396"/>
    </row>
    <row r="88" spans="1:16" s="3" customFormat="1" ht="15" customHeight="1" x14ac:dyDescent="0.25">
      <c r="A88" s="378"/>
      <c r="B88" s="18"/>
      <c r="C88" s="18"/>
      <c r="D88" s="18"/>
      <c r="E88" s="37"/>
      <c r="F88" s="37"/>
      <c r="G88" s="36"/>
      <c r="H88" s="18"/>
      <c r="I88" s="18"/>
      <c r="J88" s="18"/>
      <c r="K88" s="18"/>
      <c r="L88" s="18"/>
      <c r="M88" s="18"/>
      <c r="N88" s="18"/>
      <c r="O88" s="399"/>
      <c r="P88" s="2"/>
    </row>
    <row r="89" spans="1:16" s="3" customFormat="1" ht="15" customHeight="1" x14ac:dyDescent="0.25">
      <c r="A89" s="378"/>
      <c r="B89" s="18"/>
      <c r="C89" s="18"/>
      <c r="D89" s="18"/>
      <c r="E89" s="42"/>
      <c r="F89" s="42"/>
      <c r="G89" s="18"/>
      <c r="H89" s="382" t="s">
        <v>221</v>
      </c>
      <c r="I89" s="137"/>
      <c r="J89" s="147" t="s">
        <v>127</v>
      </c>
      <c r="K89" s="137"/>
      <c r="L89" s="147" t="s">
        <v>128</v>
      </c>
      <c r="M89" s="18"/>
      <c r="N89" s="117" t="s">
        <v>123</v>
      </c>
      <c r="O89" s="383"/>
      <c r="P89" s="2"/>
    </row>
    <row r="90" spans="1:16" s="3" customFormat="1" ht="15" customHeight="1" x14ac:dyDescent="0.25">
      <c r="A90" s="378"/>
      <c r="B90" s="18"/>
      <c r="C90" s="18"/>
      <c r="D90" s="18"/>
      <c r="E90" s="18"/>
      <c r="F90" s="18"/>
      <c r="G90" s="18"/>
      <c r="H90" s="113" t="e">
        <f>N90/(B85+B87)*60</f>
        <v>#DIV/0!</v>
      </c>
      <c r="I90" s="138"/>
      <c r="J90" s="148" t="e">
        <f>N90/J87</f>
        <v>#DIV/0!</v>
      </c>
      <c r="K90" s="138"/>
      <c r="L90" s="148" t="e">
        <f>N90/F40</f>
        <v>#DIV/0!</v>
      </c>
      <c r="M90" s="18"/>
      <c r="N90" s="113" t="e">
        <f>N85*L85</f>
        <v>#DIV/0!</v>
      </c>
      <c r="O90" s="383"/>
      <c r="P90" s="2"/>
    </row>
    <row r="91" spans="1:16" s="3" customFormat="1" ht="15" customHeight="1" x14ac:dyDescent="0.25">
      <c r="A91" s="389"/>
      <c r="B91" s="18"/>
      <c r="C91" s="18"/>
      <c r="D91" s="18"/>
      <c r="E91" s="18"/>
      <c r="F91" s="18"/>
      <c r="G91" s="18"/>
      <c r="H91" s="18"/>
      <c r="I91" s="18"/>
      <c r="J91" s="18"/>
      <c r="K91" s="18"/>
      <c r="L91" s="18"/>
      <c r="M91" s="295"/>
      <c r="N91" s="18"/>
      <c r="O91" s="383"/>
      <c r="P91" s="2"/>
    </row>
    <row r="92" spans="1:16" ht="18.75" x14ac:dyDescent="0.25">
      <c r="A92" s="386" t="s">
        <v>165</v>
      </c>
      <c r="B92" s="369"/>
      <c r="C92" s="369"/>
      <c r="D92" s="369"/>
      <c r="E92" s="369"/>
      <c r="F92" s="369"/>
      <c r="G92" s="369"/>
      <c r="H92" s="369"/>
      <c r="I92" s="369"/>
      <c r="J92" s="369"/>
      <c r="K92" s="369"/>
      <c r="L92" s="369"/>
      <c r="M92" s="369"/>
      <c r="N92" s="369"/>
      <c r="O92" s="387"/>
      <c r="P92" s="1"/>
    </row>
    <row r="93" spans="1:16" ht="15.75" customHeight="1" x14ac:dyDescent="0.25">
      <c r="A93" s="512" t="s">
        <v>213</v>
      </c>
      <c r="B93" s="513"/>
      <c r="C93" s="513"/>
      <c r="D93" s="513"/>
      <c r="E93" s="513"/>
      <c r="F93" s="513"/>
      <c r="G93" s="513"/>
      <c r="H93" s="513"/>
      <c r="I93" s="513"/>
      <c r="J93" s="513"/>
      <c r="K93" s="513"/>
      <c r="L93" s="513"/>
      <c r="M93" s="513"/>
      <c r="N93" s="513"/>
      <c r="O93" s="514"/>
    </row>
    <row r="94" spans="1:16" ht="6" customHeight="1" x14ac:dyDescent="0.25">
      <c r="A94" s="378"/>
      <c r="B94" s="18"/>
      <c r="C94" s="18"/>
      <c r="D94" s="18"/>
      <c r="E94" s="18"/>
      <c r="F94" s="18"/>
      <c r="G94" s="18"/>
      <c r="H94" s="18"/>
      <c r="I94" s="18"/>
      <c r="J94" s="18"/>
      <c r="K94" s="18"/>
      <c r="L94" s="18"/>
      <c r="M94" s="18"/>
      <c r="N94" s="18"/>
      <c r="O94" s="383"/>
      <c r="P94" s="1"/>
    </row>
    <row r="95" spans="1:16" ht="15" customHeight="1" x14ac:dyDescent="0.25">
      <c r="A95" s="379"/>
      <c r="B95" s="24" t="s">
        <v>267</v>
      </c>
      <c r="C95" s="18"/>
      <c r="D95" s="24" t="s">
        <v>247</v>
      </c>
      <c r="E95" s="325"/>
      <c r="F95" s="146" t="s">
        <v>221</v>
      </c>
      <c r="G95" s="24"/>
      <c r="H95" s="146" t="s">
        <v>120</v>
      </c>
      <c r="I95" s="139"/>
      <c r="J95" s="169" t="s">
        <v>127</v>
      </c>
      <c r="K95" s="139"/>
      <c r="L95" s="146" t="s">
        <v>29</v>
      </c>
      <c r="M95" s="34"/>
      <c r="N95" s="114" t="s">
        <v>273</v>
      </c>
      <c r="O95" s="380"/>
      <c r="P95" s="1"/>
    </row>
    <row r="96" spans="1:16" ht="15" customHeight="1" x14ac:dyDescent="0.25">
      <c r="A96" s="378"/>
      <c r="B96" s="46" t="s">
        <v>83</v>
      </c>
      <c r="C96" s="414"/>
      <c r="D96" s="339">
        <v>0</v>
      </c>
      <c r="E96" s="324"/>
      <c r="F96" s="148">
        <f>VLOOKUP(B96,'Algemeen en kostprijzen'!A35:C39,2,FALSE)</f>
        <v>70</v>
      </c>
      <c r="G96" s="23"/>
      <c r="H96" s="148" t="e">
        <f>N96/B12</f>
        <v>#DIV/0!</v>
      </c>
      <c r="I96" s="139"/>
      <c r="J96" s="113" t="e">
        <f>N96/J115</f>
        <v>#DIV/0!</v>
      </c>
      <c r="K96" s="139"/>
      <c r="L96" s="148" t="e">
        <f>N96/H40</f>
        <v>#DIV/0!</v>
      </c>
      <c r="M96" s="18"/>
      <c r="N96" s="113">
        <f>F96*D96</f>
        <v>0</v>
      </c>
      <c r="O96" s="377"/>
      <c r="P96" s="1"/>
    </row>
    <row r="97" spans="1:16" ht="15" customHeight="1" x14ac:dyDescent="0.25">
      <c r="A97" s="378"/>
      <c r="B97" s="45" t="s">
        <v>170</v>
      </c>
      <c r="C97" s="18"/>
      <c r="D97" s="340"/>
      <c r="E97" s="322"/>
      <c r="F97" s="148"/>
      <c r="G97" s="18"/>
      <c r="H97" s="149"/>
      <c r="I97" s="139"/>
      <c r="J97" s="113"/>
      <c r="K97" s="139"/>
      <c r="L97" s="146"/>
      <c r="M97" s="110"/>
      <c r="N97" s="111" t="s">
        <v>274</v>
      </c>
      <c r="O97" s="377"/>
      <c r="P97" s="1"/>
    </row>
    <row r="98" spans="1:16" ht="15" customHeight="1" x14ac:dyDescent="0.25">
      <c r="A98" s="378"/>
      <c r="B98" s="48" t="s">
        <v>312</v>
      </c>
      <c r="C98" s="414"/>
      <c r="D98" s="339">
        <v>0</v>
      </c>
      <c r="E98" s="325"/>
      <c r="F98" s="148">
        <f>VLOOKUP(B98,'Algemeen en kostprijzen'!A42:C46,2,FALSE)</f>
        <v>175</v>
      </c>
      <c r="G98" s="24"/>
      <c r="H98" s="148" t="e">
        <f>N98/B12</f>
        <v>#DIV/0!</v>
      </c>
      <c r="I98" s="139"/>
      <c r="J98" s="113" t="e">
        <f>N98/J115</f>
        <v>#DIV/0!</v>
      </c>
      <c r="K98" s="139"/>
      <c r="L98" s="148" t="e">
        <f>N98/H40</f>
        <v>#DIV/0!</v>
      </c>
      <c r="M98" s="18"/>
      <c r="N98" s="113">
        <f>F98*D98</f>
        <v>0</v>
      </c>
      <c r="O98" s="377"/>
    </row>
    <row r="99" spans="1:16" ht="15" customHeight="1" x14ac:dyDescent="0.25">
      <c r="A99" s="378"/>
      <c r="B99" s="19" t="s">
        <v>271</v>
      </c>
      <c r="C99" s="18"/>
      <c r="D99" s="340"/>
      <c r="E99" s="322"/>
      <c r="F99" s="148"/>
      <c r="G99" s="18"/>
      <c r="H99" s="149"/>
      <c r="I99" s="139"/>
      <c r="J99" s="113"/>
      <c r="K99" s="139"/>
      <c r="L99" s="146"/>
      <c r="M99" s="18"/>
      <c r="N99" s="114" t="s">
        <v>272</v>
      </c>
      <c r="O99" s="377"/>
    </row>
    <row r="100" spans="1:16" ht="15" customHeight="1" x14ac:dyDescent="0.25">
      <c r="A100" s="378"/>
      <c r="B100" s="50" t="s">
        <v>96</v>
      </c>
      <c r="C100" s="414"/>
      <c r="D100" s="339">
        <v>0</v>
      </c>
      <c r="E100" s="325"/>
      <c r="F100" s="148">
        <f>VLOOKUP(B100,'Algemeen en kostprijzen'!A49:C50,2,FALSE)</f>
        <v>55</v>
      </c>
      <c r="G100" s="24"/>
      <c r="H100" s="148" t="e">
        <f>N100/B12</f>
        <v>#DIV/0!</v>
      </c>
      <c r="I100" s="139"/>
      <c r="J100" s="113" t="e">
        <f>N100/J115</f>
        <v>#DIV/0!</v>
      </c>
      <c r="K100" s="139"/>
      <c r="L100" s="148" t="e">
        <f>N100/H40</f>
        <v>#DIV/0!</v>
      </c>
      <c r="M100" s="18"/>
      <c r="N100" s="113">
        <f>F100*D100</f>
        <v>0</v>
      </c>
      <c r="O100" s="377"/>
      <c r="P100" s="1"/>
    </row>
    <row r="101" spans="1:16" x14ac:dyDescent="0.25">
      <c r="A101" s="378"/>
      <c r="B101" s="286" t="s">
        <v>98</v>
      </c>
      <c r="C101" s="18"/>
      <c r="D101" s="18"/>
      <c r="E101" s="322"/>
      <c r="F101" s="113"/>
      <c r="G101" s="57"/>
      <c r="H101" s="397"/>
      <c r="I101" s="139"/>
      <c r="J101" s="113"/>
      <c r="K101" s="139"/>
      <c r="L101" s="397"/>
      <c r="M101" s="18"/>
      <c r="N101" s="120"/>
      <c r="O101" s="383"/>
      <c r="P101" s="1"/>
    </row>
    <row r="102" spans="1:16" x14ac:dyDescent="0.25">
      <c r="A102" s="378"/>
      <c r="B102" s="96">
        <v>0</v>
      </c>
      <c r="C102" s="18"/>
      <c r="D102" s="18"/>
      <c r="E102" s="322"/>
      <c r="F102" s="147" t="s">
        <v>221</v>
      </c>
      <c r="G102" s="18"/>
      <c r="H102" s="147" t="s">
        <v>120</v>
      </c>
      <c r="I102" s="388"/>
      <c r="J102" s="382" t="s">
        <v>127</v>
      </c>
      <c r="K102" s="388"/>
      <c r="L102" s="147" t="s">
        <v>29</v>
      </c>
      <c r="M102" s="109"/>
      <c r="N102" s="117" t="s">
        <v>121</v>
      </c>
      <c r="O102" s="383"/>
      <c r="P102" s="1"/>
    </row>
    <row r="103" spans="1:16" x14ac:dyDescent="0.25">
      <c r="A103" s="378"/>
      <c r="B103" s="18"/>
      <c r="C103" s="18"/>
      <c r="D103" s="18"/>
      <c r="E103" s="322"/>
      <c r="F103" s="113">
        <f>F96+F98+F100</f>
        <v>300</v>
      </c>
      <c r="G103" s="57"/>
      <c r="H103" s="148" t="e">
        <f>N103/B12</f>
        <v>#DIV/0!</v>
      </c>
      <c r="I103" s="139"/>
      <c r="J103" s="113" t="e">
        <f>J96+J98+J100</f>
        <v>#DIV/0!</v>
      </c>
      <c r="K103" s="139"/>
      <c r="L103" s="148" t="e">
        <f>L96+L98+L100</f>
        <v>#DIV/0!</v>
      </c>
      <c r="M103" s="18"/>
      <c r="N103" s="113">
        <f>N96+N98+N100+B102</f>
        <v>0</v>
      </c>
      <c r="O103" s="383"/>
      <c r="P103" s="1"/>
    </row>
    <row r="104" spans="1:16" x14ac:dyDescent="0.25">
      <c r="A104" s="378"/>
      <c r="B104" s="18"/>
      <c r="C104" s="18"/>
      <c r="D104" s="297"/>
      <c r="E104" s="297"/>
      <c r="F104" s="297"/>
      <c r="G104" s="18"/>
      <c r="H104" s="28"/>
      <c r="I104" s="18"/>
      <c r="J104" s="18"/>
      <c r="K104" s="18"/>
      <c r="L104" s="28"/>
      <c r="M104" s="18"/>
      <c r="N104" s="28"/>
      <c r="O104" s="383"/>
      <c r="P104" s="1"/>
    </row>
    <row r="105" spans="1:16" ht="15.75" customHeight="1" x14ac:dyDescent="0.25">
      <c r="A105" s="512" t="s">
        <v>182</v>
      </c>
      <c r="B105" s="513"/>
      <c r="C105" s="513"/>
      <c r="D105" s="513"/>
      <c r="E105" s="513"/>
      <c r="F105" s="513"/>
      <c r="G105" s="513"/>
      <c r="H105" s="513"/>
      <c r="I105" s="513"/>
      <c r="J105" s="513"/>
      <c r="K105" s="513"/>
      <c r="L105" s="513"/>
      <c r="M105" s="513"/>
      <c r="N105" s="513"/>
      <c r="O105" s="514"/>
      <c r="P105" s="1"/>
    </row>
    <row r="106" spans="1:16" ht="6" customHeight="1" x14ac:dyDescent="0.25">
      <c r="A106" s="400"/>
      <c r="B106" s="185"/>
      <c r="C106" s="185"/>
      <c r="D106" s="185"/>
      <c r="E106" s="185"/>
      <c r="F106" s="185"/>
      <c r="G106" s="185"/>
      <c r="H106" s="185"/>
      <c r="I106" s="185"/>
      <c r="J106" s="185"/>
      <c r="K106" s="185"/>
      <c r="L106" s="185"/>
      <c r="M106" s="185"/>
      <c r="N106" s="185"/>
      <c r="O106" s="401"/>
      <c r="P106" s="1"/>
    </row>
    <row r="107" spans="1:16" ht="15" customHeight="1" x14ac:dyDescent="0.25">
      <c r="A107" s="378"/>
      <c r="B107" s="19" t="s">
        <v>296</v>
      </c>
      <c r="C107" s="18"/>
      <c r="D107" s="24" t="s">
        <v>12</v>
      </c>
      <c r="E107" s="24"/>
      <c r="F107" s="18"/>
      <c r="G107" s="18"/>
      <c r="H107" s="24" t="s">
        <v>203</v>
      </c>
      <c r="I107" s="18"/>
      <c r="J107" s="24" t="s">
        <v>148</v>
      </c>
      <c r="K107" s="39"/>
      <c r="L107" s="35" t="s">
        <v>316</v>
      </c>
      <c r="M107" s="18"/>
      <c r="N107" s="24" t="s">
        <v>11</v>
      </c>
      <c r="O107" s="383"/>
      <c r="P107" s="1"/>
    </row>
    <row r="108" spans="1:16" ht="15" customHeight="1" x14ac:dyDescent="0.25">
      <c r="A108" s="493">
        <f>IF(B108&gt;=F14,1,0)</f>
        <v>0</v>
      </c>
      <c r="B108" s="298">
        <v>0.55000000000000004</v>
      </c>
      <c r="C108" s="18"/>
      <c r="D108" s="91">
        <f>INDEX('Algemeen en kostprijzen'!A5:AK21,'Algemeen en kostprijzen'!AL15,'Algemeen en kostprijzen'!AL16)</f>
        <v>1241</v>
      </c>
      <c r="E108" s="91"/>
      <c r="F108" s="18"/>
      <c r="G108" s="87">
        <f>IF(B98="Verwerking brandhout",1,0)</f>
        <v>0</v>
      </c>
      <c r="H108" s="48" t="s">
        <v>270</v>
      </c>
      <c r="I108" s="18"/>
      <c r="J108" s="42">
        <f>VLOOKUP(H108,'Algemeen en kostprijzen'!A78:B81,2,FALSE)</f>
        <v>0.80850000000000011</v>
      </c>
      <c r="K108" s="93">
        <f>IF(B98="Verwerking brandhout",0,1)</f>
        <v>1</v>
      </c>
      <c r="L108" s="48" t="s">
        <v>35</v>
      </c>
      <c r="M108" s="18"/>
      <c r="N108" s="42">
        <f>VLOOKUP(L108,'Algemeen en kostprijzen'!A71:B75,2,FALSE)</f>
        <v>2.46</v>
      </c>
      <c r="O108" s="383"/>
      <c r="P108" s="1"/>
    </row>
    <row r="109" spans="1:16" ht="15" customHeight="1" x14ac:dyDescent="0.25">
      <c r="A109" s="378"/>
      <c r="B109" s="57"/>
      <c r="C109" s="18"/>
      <c r="D109" s="18"/>
      <c r="E109" s="18"/>
      <c r="F109" s="18"/>
      <c r="G109" s="18"/>
      <c r="H109" s="57"/>
      <c r="I109" s="39"/>
      <c r="J109" s="18"/>
      <c r="K109" s="18"/>
      <c r="L109" s="57"/>
      <c r="M109" s="18"/>
      <c r="N109" s="18"/>
      <c r="O109" s="383"/>
      <c r="P109" s="1"/>
    </row>
    <row r="110" spans="1:16" ht="15.75" customHeight="1" x14ac:dyDescent="0.25">
      <c r="A110" s="512" t="s">
        <v>214</v>
      </c>
      <c r="B110" s="513"/>
      <c r="C110" s="513"/>
      <c r="D110" s="513"/>
      <c r="E110" s="513"/>
      <c r="F110" s="513"/>
      <c r="G110" s="513"/>
      <c r="H110" s="513"/>
      <c r="I110" s="513"/>
      <c r="J110" s="513"/>
      <c r="K110" s="513"/>
      <c r="L110" s="513"/>
      <c r="M110" s="513"/>
      <c r="N110" s="513"/>
      <c r="O110" s="514"/>
      <c r="P110" s="1"/>
    </row>
    <row r="111" spans="1:16" ht="6" customHeight="1" x14ac:dyDescent="0.25">
      <c r="A111" s="378"/>
      <c r="B111" s="18"/>
      <c r="C111" s="18"/>
      <c r="D111" s="18"/>
      <c r="E111" s="18"/>
      <c r="F111" s="18"/>
      <c r="G111" s="18"/>
      <c r="H111" s="18"/>
      <c r="I111" s="18"/>
      <c r="J111" s="18"/>
      <c r="K111" s="18"/>
      <c r="L111" s="18"/>
      <c r="M111" s="18"/>
      <c r="N111" s="18"/>
      <c r="O111" s="383"/>
      <c r="P111" s="1"/>
    </row>
    <row r="112" spans="1:16" ht="15" customHeight="1" x14ac:dyDescent="0.25">
      <c r="A112" s="378"/>
      <c r="B112" s="19" t="s">
        <v>220</v>
      </c>
      <c r="C112" s="18"/>
      <c r="D112" s="41" t="s">
        <v>22</v>
      </c>
      <c r="E112" s="83"/>
      <c r="F112" s="24" t="s">
        <v>218</v>
      </c>
      <c r="G112" s="18"/>
      <c r="H112" s="35" t="s">
        <v>216</v>
      </c>
      <c r="I112" s="18"/>
      <c r="J112" s="24" t="s">
        <v>8</v>
      </c>
      <c r="K112" s="18"/>
      <c r="L112" s="24" t="s">
        <v>9</v>
      </c>
      <c r="M112" s="18"/>
      <c r="N112" s="35" t="s">
        <v>24</v>
      </c>
      <c r="O112" s="383"/>
      <c r="P112" s="1"/>
    </row>
    <row r="113" spans="1:18" ht="15" customHeight="1" x14ac:dyDescent="0.25">
      <c r="A113" s="375"/>
      <c r="B113" s="50">
        <v>0</v>
      </c>
      <c r="C113" s="38"/>
      <c r="D113" s="51" t="s">
        <v>235</v>
      </c>
      <c r="E113" s="28"/>
      <c r="F113" s="28">
        <f>VLOOKUP(D113,'Algemeen en kostprijzen'!A60:D65,3,FALSE)</f>
        <v>1.1666666666666667</v>
      </c>
      <c r="G113" s="18"/>
      <c r="H113" s="398">
        <f>B113*F113</f>
        <v>0</v>
      </c>
      <c r="I113" s="36"/>
      <c r="J113" s="33" t="e">
        <f>(L115/D115)</f>
        <v>#DIV/0!</v>
      </c>
      <c r="K113" s="39"/>
      <c r="L113" s="42" t="e">
        <f>_xlfn.CEILING.PRECISE(J113)</f>
        <v>#DIV/0!</v>
      </c>
      <c r="M113" s="40"/>
      <c r="N113" s="28">
        <f>H113+H115</f>
        <v>0</v>
      </c>
      <c r="O113" s="394"/>
      <c r="P113" s="1"/>
    </row>
    <row r="114" spans="1:18" ht="15" customHeight="1" x14ac:dyDescent="0.25">
      <c r="A114" s="378"/>
      <c r="B114" s="35" t="s">
        <v>219</v>
      </c>
      <c r="C114" s="36"/>
      <c r="D114" s="37" t="s">
        <v>241</v>
      </c>
      <c r="E114" s="24"/>
      <c r="F114" s="24" t="s">
        <v>217</v>
      </c>
      <c r="G114" s="36"/>
      <c r="H114" s="24" t="s">
        <v>23</v>
      </c>
      <c r="I114" s="18"/>
      <c r="J114" s="24" t="s">
        <v>31</v>
      </c>
      <c r="K114" s="18"/>
      <c r="L114" s="24" t="str">
        <f>VLOOKUP(B98,'Algemeen en kostprijzen'!A42:I46,5,FALSE)</f>
        <v>Verchipt volume (bulk m³)</v>
      </c>
      <c r="M114" s="18"/>
      <c r="N114" s="24"/>
      <c r="O114" s="394"/>
      <c r="P114" s="1"/>
    </row>
    <row r="115" spans="1:18" ht="15" customHeight="1" x14ac:dyDescent="0.25">
      <c r="A115" s="378"/>
      <c r="B115" s="49">
        <v>0</v>
      </c>
      <c r="C115" s="36"/>
      <c r="D115" s="42">
        <f>VLOOKUP(D113,'Algemeen en kostprijzen'!A60:D65,4,FALSE)</f>
        <v>60</v>
      </c>
      <c r="E115" s="398"/>
      <c r="F115" s="28">
        <f>'Algemeen en kostprijzen'!C68</f>
        <v>0.58333333333333337</v>
      </c>
      <c r="G115" s="36"/>
      <c r="H115" s="28">
        <f>B115*F115</f>
        <v>0</v>
      </c>
      <c r="I115" s="31"/>
      <c r="J115" s="33" t="e">
        <f>H40*(D108/1000)</f>
        <v>#DIV/0!</v>
      </c>
      <c r="K115" s="31"/>
      <c r="L115" s="33" t="e">
        <f>VLOOKUP(B98,'Algemeen en kostprijzen'!A42:I46,6,FALSE)</f>
        <v>#DIV/0!</v>
      </c>
      <c r="M115" s="57"/>
      <c r="N115" s="28"/>
      <c r="O115" s="396"/>
      <c r="P115" s="1"/>
    </row>
    <row r="116" spans="1:18" s="3" customFormat="1" ht="15" customHeight="1" x14ac:dyDescent="0.25">
      <c r="A116" s="378"/>
      <c r="B116" s="18"/>
      <c r="C116" s="36"/>
      <c r="D116" s="18"/>
      <c r="E116" s="37"/>
      <c r="F116" s="18"/>
      <c r="G116" s="36"/>
      <c r="H116" s="18"/>
      <c r="I116" s="18"/>
      <c r="J116" s="18"/>
      <c r="K116" s="18"/>
      <c r="L116" s="18"/>
      <c r="M116" s="18"/>
      <c r="N116" s="18"/>
      <c r="O116" s="396"/>
      <c r="P116" s="2"/>
    </row>
    <row r="117" spans="1:18" ht="15" customHeight="1" x14ac:dyDescent="0.25">
      <c r="A117" s="378"/>
      <c r="B117" s="18"/>
      <c r="C117" s="18"/>
      <c r="D117" s="18"/>
      <c r="E117" s="42"/>
      <c r="F117" s="18"/>
      <c r="G117" s="18"/>
      <c r="H117" s="382" t="s">
        <v>221</v>
      </c>
      <c r="I117" s="18"/>
      <c r="J117" s="147" t="s">
        <v>127</v>
      </c>
      <c r="K117" s="137"/>
      <c r="L117" s="147" t="s">
        <v>128</v>
      </c>
      <c r="M117" s="109"/>
      <c r="N117" s="117" t="s">
        <v>123</v>
      </c>
      <c r="O117" s="396"/>
      <c r="Q117" s="1"/>
    </row>
    <row r="118" spans="1:18" ht="15" customHeight="1" x14ac:dyDescent="0.25">
      <c r="A118" s="378"/>
      <c r="B118" s="57"/>
      <c r="C118" s="18"/>
      <c r="D118" s="18"/>
      <c r="E118" s="18"/>
      <c r="F118" s="18"/>
      <c r="G118" s="18"/>
      <c r="H118" s="113" t="e">
        <f>N118/(B113+B115)*60</f>
        <v>#DIV/0!</v>
      </c>
      <c r="I118" s="137"/>
      <c r="J118" s="148" t="e">
        <f>N118/J115</f>
        <v>#DIV/0!</v>
      </c>
      <c r="K118" s="138"/>
      <c r="L118" s="148" t="e">
        <f>N118/H40</f>
        <v>#DIV/0!</v>
      </c>
      <c r="M118" s="18"/>
      <c r="N118" s="113" t="e">
        <f>N113*L113</f>
        <v>#DIV/0!</v>
      </c>
      <c r="O118" s="402"/>
      <c r="Q118" s="1"/>
      <c r="R118" s="1"/>
    </row>
    <row r="119" spans="1:18" ht="15" customHeight="1" x14ac:dyDescent="0.25">
      <c r="A119" s="389"/>
      <c r="B119" s="18"/>
      <c r="C119" s="18"/>
      <c r="D119" s="18"/>
      <c r="E119" s="18"/>
      <c r="F119" s="18"/>
      <c r="G119" s="18"/>
      <c r="H119" s="18"/>
      <c r="I119" s="18"/>
      <c r="J119" s="18"/>
      <c r="K119" s="18"/>
      <c r="L119" s="110"/>
      <c r="M119" s="295"/>
      <c r="N119" s="18"/>
      <c r="O119" s="383"/>
      <c r="P119" s="1"/>
      <c r="Q119" s="1"/>
      <c r="R119" s="1"/>
    </row>
    <row r="120" spans="1:18" ht="15.75" customHeight="1" x14ac:dyDescent="0.25">
      <c r="A120" s="512" t="s">
        <v>315</v>
      </c>
      <c r="B120" s="513"/>
      <c r="C120" s="513"/>
      <c r="D120" s="513"/>
      <c r="E120" s="513"/>
      <c r="F120" s="513"/>
      <c r="G120" s="513"/>
      <c r="H120" s="513"/>
      <c r="I120" s="513"/>
      <c r="J120" s="513"/>
      <c r="K120" s="513"/>
      <c r="L120" s="513"/>
      <c r="M120" s="513"/>
      <c r="N120" s="513"/>
      <c r="O120" s="514"/>
      <c r="P120" s="1"/>
      <c r="Q120" s="1"/>
      <c r="R120" s="1"/>
    </row>
    <row r="121" spans="1:18" s="3" customFormat="1" ht="6" customHeight="1" x14ac:dyDescent="0.25">
      <c r="A121" s="400"/>
      <c r="B121" s="186"/>
      <c r="C121" s="185"/>
      <c r="D121" s="185"/>
      <c r="E121" s="185"/>
      <c r="F121" s="185"/>
      <c r="G121" s="185"/>
      <c r="H121" s="185"/>
      <c r="I121" s="185"/>
      <c r="J121" s="185"/>
      <c r="K121" s="185"/>
      <c r="L121" s="185"/>
      <c r="M121" s="185"/>
      <c r="N121" s="185"/>
      <c r="O121" s="401"/>
      <c r="P121" s="2"/>
      <c r="Q121" s="2"/>
      <c r="R121" s="2"/>
    </row>
    <row r="122" spans="1:18" ht="15" customHeight="1" x14ac:dyDescent="0.25">
      <c r="A122" s="378"/>
      <c r="B122" s="19" t="s">
        <v>323</v>
      </c>
      <c r="C122" s="18"/>
      <c r="D122" s="18"/>
      <c r="E122" s="18"/>
      <c r="F122" s="18"/>
      <c r="G122" s="18"/>
      <c r="H122" s="18"/>
      <c r="I122" s="23"/>
      <c r="J122" s="117" t="s">
        <v>127</v>
      </c>
      <c r="K122" s="30"/>
      <c r="L122" s="117" t="s">
        <v>29</v>
      </c>
      <c r="M122" s="36"/>
      <c r="N122" s="117" t="s">
        <v>100</v>
      </c>
      <c r="O122" s="383"/>
      <c r="P122" s="1"/>
      <c r="Q122" s="1"/>
      <c r="R122" s="1"/>
    </row>
    <row r="123" spans="1:18" ht="15" customHeight="1" x14ac:dyDescent="0.25">
      <c r="A123" s="378"/>
      <c r="B123" s="50" t="s">
        <v>228</v>
      </c>
      <c r="C123" s="18"/>
      <c r="D123" s="18"/>
      <c r="E123" s="18"/>
      <c r="F123" s="18"/>
      <c r="G123" s="18"/>
      <c r="H123" s="18"/>
      <c r="I123" s="23"/>
      <c r="J123" s="113">
        <f>VLOOKUP(B123,'Algemeen en kostprijzen'!A84:B85,2,FALSE)</f>
        <v>0</v>
      </c>
      <c r="K123" s="39"/>
      <c r="L123" s="113" t="e">
        <f>N123/H40</f>
        <v>#DIV/0!</v>
      </c>
      <c r="M123" s="39"/>
      <c r="N123" s="113" t="e">
        <f>J115*J123</f>
        <v>#DIV/0!</v>
      </c>
      <c r="O123" s="383"/>
      <c r="P123" s="1"/>
      <c r="Q123" s="1"/>
      <c r="R123" s="1"/>
    </row>
    <row r="124" spans="1:18" ht="15" customHeight="1" x14ac:dyDescent="0.25">
      <c r="A124" s="378"/>
      <c r="B124" s="24"/>
      <c r="C124" s="18"/>
      <c r="D124" s="18"/>
      <c r="E124" s="18"/>
      <c r="F124" s="18"/>
      <c r="G124" s="18"/>
      <c r="H124" s="18"/>
      <c r="I124" s="292"/>
      <c r="J124" s="292"/>
      <c r="K124" s="292"/>
      <c r="L124" s="299"/>
      <c r="M124" s="18"/>
      <c r="N124" s="18"/>
      <c r="O124" s="383"/>
      <c r="P124" s="1"/>
      <c r="Q124" s="1"/>
      <c r="R124" s="1"/>
    </row>
    <row r="125" spans="1:18" ht="18.75" x14ac:dyDescent="0.25">
      <c r="A125" s="527" t="s">
        <v>174</v>
      </c>
      <c r="B125" s="528"/>
      <c r="C125" s="528"/>
      <c r="D125" s="528"/>
      <c r="E125" s="528"/>
      <c r="F125" s="528"/>
      <c r="G125" s="528"/>
      <c r="H125" s="528"/>
      <c r="I125" s="528"/>
      <c r="J125" s="528"/>
      <c r="K125" s="528"/>
      <c r="L125" s="528"/>
      <c r="M125" s="528"/>
      <c r="N125" s="528"/>
      <c r="O125" s="529"/>
      <c r="P125" s="1"/>
      <c r="R125" s="1"/>
    </row>
    <row r="126" spans="1:18" ht="6" customHeight="1" x14ac:dyDescent="0.25">
      <c r="A126" s="554"/>
      <c r="B126" s="555"/>
      <c r="C126" s="555"/>
      <c r="D126" s="555"/>
      <c r="E126" s="555"/>
      <c r="F126" s="555"/>
      <c r="G126" s="555"/>
      <c r="H126" s="555"/>
      <c r="I126" s="555"/>
      <c r="J126" s="555"/>
      <c r="K126" s="555"/>
      <c r="L126" s="555"/>
      <c r="M126" s="555"/>
      <c r="N126" s="555"/>
      <c r="O126" s="556"/>
      <c r="P126" s="1"/>
    </row>
    <row r="127" spans="1:18" ht="15" customHeight="1" x14ac:dyDescent="0.25">
      <c r="A127" s="378"/>
      <c r="B127" s="18"/>
      <c r="C127" s="18"/>
      <c r="D127" s="108" t="s">
        <v>28</v>
      </c>
      <c r="E127" s="108"/>
      <c r="F127" s="104" t="str">
        <f>F39</f>
        <v>Industriehout</v>
      </c>
      <c r="G127" s="108"/>
      <c r="H127" s="104" t="str">
        <f>H39</f>
        <v>Tak- en tophout</v>
      </c>
      <c r="I127" s="18"/>
      <c r="J127" s="108" t="s">
        <v>147</v>
      </c>
      <c r="K127" s="18"/>
      <c r="L127" s="18"/>
      <c r="M127" s="18"/>
      <c r="N127" s="18"/>
      <c r="O127" s="383"/>
    </row>
    <row r="128" spans="1:18" ht="15" customHeight="1" x14ac:dyDescent="0.25">
      <c r="A128" s="378"/>
      <c r="B128" s="98" t="s">
        <v>105</v>
      </c>
      <c r="C128" s="18"/>
      <c r="D128" s="28" t="e">
        <f>D48</f>
        <v>#DIV/0!</v>
      </c>
      <c r="E128" s="288"/>
      <c r="F128" s="28" t="e">
        <f>F48</f>
        <v>#DIV/0!</v>
      </c>
      <c r="G128" s="288"/>
      <c r="H128" s="28" t="e">
        <f>H48</f>
        <v>#DIV/0!</v>
      </c>
      <c r="I128" s="109"/>
      <c r="J128" s="28" t="e">
        <f>D128+F128+H128</f>
        <v>#DIV/0!</v>
      </c>
      <c r="K128" s="18"/>
      <c r="L128" s="18"/>
      <c r="M128" s="18"/>
      <c r="N128" s="18"/>
      <c r="O128" s="383"/>
    </row>
    <row r="129" spans="1:17" ht="15" customHeight="1" x14ac:dyDescent="0.25">
      <c r="A129" s="378"/>
      <c r="B129" s="97" t="s">
        <v>102</v>
      </c>
      <c r="C129" s="18"/>
      <c r="D129" s="28" t="e">
        <f>N59+N69</f>
        <v>#DIV/0!</v>
      </c>
      <c r="E129" s="288"/>
      <c r="F129" s="101" t="e">
        <f>N80+N90</f>
        <v>#DIV/0!</v>
      </c>
      <c r="G129" s="288"/>
      <c r="H129" s="101" t="e">
        <f>N103+N118</f>
        <v>#DIV/0!</v>
      </c>
      <c r="I129" s="109"/>
      <c r="J129" s="28" t="e">
        <f>D129+F129+H129</f>
        <v>#DIV/0!</v>
      </c>
      <c r="K129" s="18"/>
      <c r="L129" s="18"/>
      <c r="M129" s="18"/>
      <c r="N129" s="18"/>
      <c r="O129" s="383"/>
    </row>
    <row r="130" spans="1:17" ht="6" customHeight="1" thickBot="1" x14ac:dyDescent="0.3">
      <c r="A130" s="378"/>
      <c r="B130" s="32"/>
      <c r="C130" s="285"/>
      <c r="D130" s="99"/>
      <c r="E130" s="285"/>
      <c r="F130" s="100"/>
      <c r="G130" s="285"/>
      <c r="H130" s="100"/>
      <c r="I130" s="125"/>
      <c r="J130" s="131"/>
      <c r="K130" s="285"/>
      <c r="L130" s="285"/>
      <c r="M130" s="18"/>
      <c r="N130" s="18"/>
      <c r="O130" s="383"/>
    </row>
    <row r="131" spans="1:17" ht="15" customHeight="1" x14ac:dyDescent="0.25">
      <c r="A131" s="378"/>
      <c r="B131" s="122" t="s">
        <v>111</v>
      </c>
      <c r="C131" s="123"/>
      <c r="D131" s="124" t="e">
        <f>D128+D129</f>
        <v>#DIV/0!</v>
      </c>
      <c r="E131" s="127" t="s">
        <v>118</v>
      </c>
      <c r="F131" s="124" t="e">
        <f>F128+F129</f>
        <v>#DIV/0!</v>
      </c>
      <c r="G131" s="127" t="s">
        <v>118</v>
      </c>
      <c r="H131" s="113" t="e">
        <f>H128+H129</f>
        <v>#DIV/0!</v>
      </c>
      <c r="I131" s="127" t="s">
        <v>119</v>
      </c>
      <c r="J131" s="124" t="e">
        <f>D131+F131+H131</f>
        <v>#DIV/0!</v>
      </c>
      <c r="K131" s="120"/>
      <c r="L131" s="120"/>
      <c r="M131" s="18"/>
      <c r="N131" s="18"/>
      <c r="O131" s="383"/>
      <c r="Q131" s="70"/>
    </row>
    <row r="132" spans="1:17" ht="15" customHeight="1" x14ac:dyDescent="0.25">
      <c r="A132" s="378"/>
      <c r="B132" s="102"/>
      <c r="C132" s="18"/>
      <c r="D132" s="18"/>
      <c r="E132" s="18"/>
      <c r="F132" s="18"/>
      <c r="G132" s="18"/>
      <c r="H132" s="18"/>
      <c r="I132" s="108"/>
      <c r="J132" s="108"/>
      <c r="K132" s="18"/>
      <c r="L132" s="18"/>
      <c r="M132" s="18"/>
      <c r="N132" s="18"/>
      <c r="O132" s="383"/>
    </row>
    <row r="133" spans="1:17" ht="15" customHeight="1" x14ac:dyDescent="0.25">
      <c r="A133" s="378"/>
      <c r="B133" s="31" t="s">
        <v>185</v>
      </c>
      <c r="C133" s="18"/>
      <c r="D133" s="168" t="str">
        <f>'Algemeen en kostprijzen'!A96</f>
        <v>Werkhout</v>
      </c>
      <c r="E133" s="18"/>
      <c r="F133" s="168" t="str">
        <f>'Algemeen en kostprijzen'!A97</f>
        <v>Industriehout</v>
      </c>
      <c r="G133" s="18"/>
      <c r="H133" s="403" t="str">
        <f>VLOOKUP(B98,'Algemeen en kostprijzen'!A42:I46,7,FALSE)</f>
        <v>Houtchips</v>
      </c>
      <c r="I133" s="18"/>
      <c r="J133" s="24"/>
      <c r="K133" s="18"/>
      <c r="L133" s="18"/>
      <c r="M133" s="18"/>
      <c r="N133" s="18"/>
      <c r="O133" s="383"/>
    </row>
    <row r="134" spans="1:17" ht="15" customHeight="1" x14ac:dyDescent="0.25">
      <c r="A134" s="378"/>
      <c r="B134" s="31"/>
      <c r="C134" s="18"/>
      <c r="D134" s="300" t="e">
        <f>D40</f>
        <v>#DIV/0!</v>
      </c>
      <c r="E134" s="404"/>
      <c r="F134" s="300" t="e">
        <f>F40</f>
        <v>#DIV/0!</v>
      </c>
      <c r="G134" s="405"/>
      <c r="H134" s="300" t="e">
        <f>VLOOKUP(B98,'Algemeen en kostprijzen'!A42:I46,8,FALSE)</f>
        <v>#DIV/0!</v>
      </c>
      <c r="I134" s="57"/>
      <c r="J134" s="24"/>
      <c r="K134" s="18"/>
      <c r="L134" s="18"/>
      <c r="M134" s="18"/>
      <c r="N134" s="18"/>
      <c r="O134" s="383"/>
    </row>
    <row r="135" spans="1:17" ht="15" customHeight="1" x14ac:dyDescent="0.25">
      <c r="A135" s="378"/>
      <c r="B135" s="31"/>
      <c r="C135" s="18"/>
      <c r="D135" s="86" t="s">
        <v>38</v>
      </c>
      <c r="E135" s="18"/>
      <c r="F135" s="86" t="s">
        <v>38</v>
      </c>
      <c r="G135" s="18"/>
      <c r="H135" s="86" t="str">
        <f>VLOOKUP(B98,'Algemeen en kostprijzen'!A42:I46,9,FALSE)</f>
        <v>ton</v>
      </c>
      <c r="I135" s="18"/>
      <c r="J135" s="24"/>
      <c r="K135" s="18"/>
      <c r="L135" s="18"/>
      <c r="M135" s="18"/>
      <c r="N135" s="18"/>
      <c r="O135" s="383"/>
    </row>
    <row r="136" spans="1:17" ht="15" customHeight="1" x14ac:dyDescent="0.25">
      <c r="A136" s="378"/>
      <c r="B136" s="103" t="s">
        <v>104</v>
      </c>
      <c r="C136" s="18"/>
      <c r="D136" s="106">
        <v>700</v>
      </c>
      <c r="E136" s="418"/>
      <c r="F136" s="106">
        <v>50</v>
      </c>
      <c r="G136" s="418"/>
      <c r="H136" s="106">
        <v>22</v>
      </c>
      <c r="I136" s="57"/>
      <c r="J136" s="108"/>
      <c r="K136" s="18"/>
      <c r="L136" s="18"/>
      <c r="M136" s="18"/>
      <c r="N136" s="18"/>
      <c r="O136" s="383"/>
    </row>
    <row r="137" spans="1:17" ht="6" customHeight="1" thickBot="1" x14ac:dyDescent="0.3">
      <c r="A137" s="378"/>
      <c r="B137" s="301"/>
      <c r="C137" s="285"/>
      <c r="D137" s="302"/>
      <c r="E137" s="285"/>
      <c r="F137" s="285"/>
      <c r="G137" s="285"/>
      <c r="H137" s="285"/>
      <c r="I137" s="285"/>
      <c r="J137" s="285"/>
      <c r="K137" s="285"/>
      <c r="L137" s="18"/>
      <c r="M137" s="18"/>
      <c r="N137" s="18"/>
      <c r="O137" s="383"/>
    </row>
    <row r="138" spans="1:17" ht="15" customHeight="1" x14ac:dyDescent="0.25">
      <c r="A138" s="378"/>
      <c r="B138" s="303" t="s">
        <v>110</v>
      </c>
      <c r="C138" s="120"/>
      <c r="D138" s="113" t="e">
        <f>D134*D136</f>
        <v>#DIV/0!</v>
      </c>
      <c r="E138" s="132" t="s">
        <v>118</v>
      </c>
      <c r="F138" s="113" t="e">
        <f>F134*F136</f>
        <v>#DIV/0!</v>
      </c>
      <c r="G138" s="132" t="s">
        <v>118</v>
      </c>
      <c r="H138" s="113" t="e">
        <f>(H134*H136)-N123</f>
        <v>#DIV/0!</v>
      </c>
      <c r="I138" s="128" t="s">
        <v>119</v>
      </c>
      <c r="J138" s="113" t="e">
        <f>D138+F138+H138</f>
        <v>#DIV/0!</v>
      </c>
      <c r="K138" s="120"/>
      <c r="L138" s="360"/>
      <c r="M138" s="18"/>
      <c r="N138" s="18"/>
      <c r="O138" s="383"/>
      <c r="Q138" s="1"/>
    </row>
    <row r="139" spans="1:17" ht="15" customHeight="1" x14ac:dyDescent="0.25">
      <c r="A139" s="378"/>
      <c r="B139" s="31"/>
      <c r="C139" s="18"/>
      <c r="D139" s="28"/>
      <c r="E139" s="406"/>
      <c r="F139" s="28"/>
      <c r="G139" s="406"/>
      <c r="H139" s="28"/>
      <c r="I139" s="18"/>
      <c r="J139" s="18"/>
      <c r="K139" s="18"/>
      <c r="L139" s="18"/>
      <c r="M139" s="18"/>
      <c r="N139" s="18"/>
      <c r="O139" s="383"/>
    </row>
    <row r="140" spans="1:17" ht="15" customHeight="1" thickBot="1" x14ac:dyDescent="0.3">
      <c r="A140" s="378"/>
      <c r="B140" s="301"/>
      <c r="C140" s="285"/>
      <c r="D140" s="285"/>
      <c r="E140" s="304"/>
      <c r="F140" s="285"/>
      <c r="G140" s="304"/>
      <c r="H140" s="285"/>
      <c r="I140" s="285"/>
      <c r="J140" s="285"/>
      <c r="K140" s="285"/>
      <c r="L140" s="255"/>
      <c r="M140" s="18"/>
      <c r="N140" s="18"/>
      <c r="O140" s="383"/>
    </row>
    <row r="141" spans="1:17" ht="15" customHeight="1" x14ac:dyDescent="0.25">
      <c r="A141" s="378"/>
      <c r="B141" s="119" t="s">
        <v>145</v>
      </c>
      <c r="C141" s="120"/>
      <c r="D141" s="121" t="e">
        <f>D138-D131</f>
        <v>#DIV/0!</v>
      </c>
      <c r="E141" s="133" t="s">
        <v>118</v>
      </c>
      <c r="F141" s="121" t="e">
        <f>F138-F131</f>
        <v>#DIV/0!</v>
      </c>
      <c r="G141" s="133" t="s">
        <v>118</v>
      </c>
      <c r="H141" s="121" t="e">
        <f>H138-H131</f>
        <v>#DIV/0!</v>
      </c>
      <c r="I141" s="127" t="s">
        <v>119</v>
      </c>
      <c r="J141" s="407" t="s">
        <v>161</v>
      </c>
      <c r="K141" s="120"/>
      <c r="L141" s="121" t="e">
        <f>D141+F141+H141</f>
        <v>#DIV/0!</v>
      </c>
      <c r="M141" s="18"/>
      <c r="N141" s="18"/>
      <c r="O141" s="383"/>
    </row>
    <row r="142" spans="1:17" ht="15" customHeight="1" x14ac:dyDescent="0.25">
      <c r="A142" s="378"/>
      <c r="B142" s="171" t="s">
        <v>144</v>
      </c>
      <c r="C142" s="172"/>
      <c r="D142" s="173" t="e">
        <f>D141/B12</f>
        <v>#DIV/0!</v>
      </c>
      <c r="E142" s="174"/>
      <c r="F142" s="173" t="e">
        <f>F141/B12</f>
        <v>#DIV/0!</v>
      </c>
      <c r="G142" s="174"/>
      <c r="H142" s="173" t="e">
        <f>H141/B12</f>
        <v>#DIV/0!</v>
      </c>
      <c r="I142" s="175"/>
      <c r="J142" s="408" t="s">
        <v>160</v>
      </c>
      <c r="K142" s="18"/>
      <c r="L142" s="173" t="e">
        <f>D142+F142+H142</f>
        <v>#DIV/0!</v>
      </c>
      <c r="M142" s="18"/>
      <c r="N142" s="18"/>
      <c r="O142" s="383"/>
    </row>
    <row r="143" spans="1:17" ht="15" customHeight="1" x14ac:dyDescent="0.25">
      <c r="A143" s="378"/>
      <c r="B143" s="171" t="s">
        <v>146</v>
      </c>
      <c r="C143" s="172"/>
      <c r="D143" s="173" t="e">
        <f>D141/D40</f>
        <v>#DIV/0!</v>
      </c>
      <c r="E143" s="174"/>
      <c r="F143" s="173" t="e">
        <f>F141/F40</f>
        <v>#DIV/0!</v>
      </c>
      <c r="G143" s="174"/>
      <c r="H143" s="173" t="e">
        <f>H141/H40</f>
        <v>#DIV/0!</v>
      </c>
      <c r="I143" s="175"/>
      <c r="J143" s="408" t="s">
        <v>159</v>
      </c>
      <c r="K143" s="18"/>
      <c r="L143" s="173" t="e">
        <f>L141/N40</f>
        <v>#DIV/0!</v>
      </c>
      <c r="M143" s="18"/>
      <c r="N143" s="18"/>
      <c r="O143" s="383"/>
    </row>
    <row r="144" spans="1:17" ht="15" customHeight="1" x14ac:dyDescent="0.25">
      <c r="A144" s="378"/>
      <c r="B144" s="171" t="s">
        <v>204</v>
      </c>
      <c r="C144" s="172"/>
      <c r="D144" s="173" t="e">
        <f>D141/D40*(H14/1000)</f>
        <v>#DIV/0!</v>
      </c>
      <c r="E144" s="174"/>
      <c r="F144" s="173" t="e">
        <f>F141/F40*(H14/1000)</f>
        <v>#DIV/0!</v>
      </c>
      <c r="G144" s="174"/>
      <c r="H144" s="173" t="e">
        <f>H141/H40*(D108/1000)</f>
        <v>#DIV/0!</v>
      </c>
      <c r="I144" s="175"/>
      <c r="J144" s="408" t="s">
        <v>205</v>
      </c>
      <c r="K144" s="57"/>
      <c r="L144" s="173" t="e">
        <f>L141/N40*(H14/1000)</f>
        <v>#DIV/0!</v>
      </c>
      <c r="M144" s="18"/>
      <c r="N144" s="18"/>
      <c r="O144" s="383"/>
    </row>
    <row r="145" spans="1:15" ht="15" customHeight="1" x14ac:dyDescent="0.25">
      <c r="A145" s="389"/>
      <c r="B145" s="299"/>
      <c r="C145" s="290"/>
      <c r="D145" s="299"/>
      <c r="E145" s="299"/>
      <c r="F145" s="299"/>
      <c r="G145" s="305"/>
      <c r="H145" s="306"/>
      <c r="I145" s="290"/>
      <c r="J145" s="290"/>
      <c r="K145" s="290"/>
      <c r="L145" s="306"/>
      <c r="M145" s="290"/>
      <c r="N145" s="307"/>
      <c r="O145" s="409"/>
    </row>
    <row r="146" spans="1:15" ht="18.75" x14ac:dyDescent="0.25">
      <c r="A146" s="527" t="s">
        <v>175</v>
      </c>
      <c r="B146" s="528"/>
      <c r="C146" s="528"/>
      <c r="D146" s="528"/>
      <c r="E146" s="528"/>
      <c r="F146" s="528"/>
      <c r="G146" s="528"/>
      <c r="H146" s="528"/>
      <c r="I146" s="528"/>
      <c r="J146" s="528"/>
      <c r="K146" s="528"/>
      <c r="L146" s="528"/>
      <c r="M146" s="528"/>
      <c r="N146" s="528"/>
      <c r="O146" s="529"/>
    </row>
    <row r="147" spans="1:15" x14ac:dyDescent="0.25">
      <c r="A147" s="378"/>
      <c r="B147" s="18"/>
      <c r="C147" s="18"/>
      <c r="D147" s="18"/>
      <c r="E147" s="18"/>
      <c r="F147" s="18"/>
      <c r="G147" s="18"/>
      <c r="H147" s="18"/>
      <c r="I147" s="18"/>
      <c r="J147" s="18"/>
      <c r="K147" s="18"/>
      <c r="L147" s="18"/>
      <c r="M147" s="18"/>
      <c r="N147" s="18"/>
      <c r="O147" s="383"/>
    </row>
    <row r="148" spans="1:15" x14ac:dyDescent="0.25">
      <c r="A148" s="378"/>
      <c r="B148" s="18"/>
      <c r="C148" s="18"/>
      <c r="D148" s="18"/>
      <c r="E148" s="18"/>
      <c r="F148" s="18"/>
      <c r="G148" s="18"/>
      <c r="H148" s="18"/>
      <c r="I148" s="18"/>
      <c r="J148" s="18"/>
      <c r="K148" s="18"/>
      <c r="L148" s="18"/>
      <c r="M148" s="18"/>
      <c r="N148" s="18"/>
      <c r="O148" s="383"/>
    </row>
    <row r="149" spans="1:15" x14ac:dyDescent="0.25">
      <c r="A149" s="378"/>
      <c r="B149" s="18"/>
      <c r="C149" s="18"/>
      <c r="D149" s="18"/>
      <c r="E149" s="18"/>
      <c r="F149" s="18"/>
      <c r="G149" s="18"/>
      <c r="H149" s="18"/>
      <c r="I149" s="18"/>
      <c r="J149" s="18"/>
      <c r="K149" s="18"/>
      <c r="L149" s="18"/>
      <c r="M149" s="18"/>
      <c r="N149" s="18"/>
      <c r="O149" s="383"/>
    </row>
    <row r="150" spans="1:15" x14ac:dyDescent="0.25">
      <c r="A150" s="378"/>
      <c r="B150" s="18"/>
      <c r="C150" s="18"/>
      <c r="D150" s="18"/>
      <c r="E150" s="18"/>
      <c r="F150" s="18"/>
      <c r="G150" s="18"/>
      <c r="H150" s="18"/>
      <c r="I150" s="18"/>
      <c r="J150" s="18"/>
      <c r="K150" s="18"/>
      <c r="L150" s="18"/>
      <c r="M150" s="18"/>
      <c r="N150" s="18"/>
      <c r="O150" s="383"/>
    </row>
    <row r="151" spans="1:15" x14ac:dyDescent="0.25">
      <c r="A151" s="378"/>
      <c r="B151" s="18"/>
      <c r="C151" s="18"/>
      <c r="D151" s="18"/>
      <c r="E151" s="18"/>
      <c r="F151" s="18"/>
      <c r="G151" s="18"/>
      <c r="H151" s="18"/>
      <c r="I151" s="18"/>
      <c r="J151" s="18"/>
      <c r="K151" s="18"/>
      <c r="L151" s="18"/>
      <c r="M151" s="18"/>
      <c r="N151" s="18"/>
      <c r="O151" s="383"/>
    </row>
    <row r="152" spans="1:15" x14ac:dyDescent="0.25">
      <c r="A152" s="378"/>
      <c r="B152" s="18"/>
      <c r="C152" s="18"/>
      <c r="D152" s="18"/>
      <c r="E152" s="18"/>
      <c r="F152" s="18"/>
      <c r="G152" s="18"/>
      <c r="H152" s="18"/>
      <c r="I152" s="18"/>
      <c r="J152" s="18"/>
      <c r="K152" s="18"/>
      <c r="L152" s="18"/>
      <c r="M152" s="18"/>
      <c r="N152" s="18"/>
      <c r="O152" s="383"/>
    </row>
    <row r="153" spans="1:15" x14ac:dyDescent="0.25">
      <c r="A153" s="378"/>
      <c r="B153" s="18"/>
      <c r="C153" s="18"/>
      <c r="D153" s="18"/>
      <c r="E153" s="18"/>
      <c r="F153" s="18"/>
      <c r="G153" s="18"/>
      <c r="H153" s="18"/>
      <c r="I153" s="18"/>
      <c r="J153" s="18"/>
      <c r="K153" s="18"/>
      <c r="L153" s="18"/>
      <c r="M153" s="18"/>
      <c r="N153" s="18"/>
      <c r="O153" s="383"/>
    </row>
    <row r="154" spans="1:15" x14ac:dyDescent="0.25">
      <c r="A154" s="378"/>
      <c r="B154" s="18"/>
      <c r="C154" s="18"/>
      <c r="D154" s="18"/>
      <c r="E154" s="18"/>
      <c r="F154" s="18"/>
      <c r="G154" s="18"/>
      <c r="H154" s="18"/>
      <c r="I154" s="18"/>
      <c r="J154" s="18"/>
      <c r="K154" s="18"/>
      <c r="L154" s="18"/>
      <c r="M154" s="18"/>
      <c r="N154" s="18"/>
      <c r="O154" s="383"/>
    </row>
    <row r="155" spans="1:15" x14ac:dyDescent="0.25">
      <c r="A155" s="378"/>
      <c r="B155" s="18"/>
      <c r="C155" s="18"/>
      <c r="D155" s="18"/>
      <c r="E155" s="18"/>
      <c r="F155" s="18"/>
      <c r="G155" s="18"/>
      <c r="H155" s="18"/>
      <c r="I155" s="18"/>
      <c r="J155" s="18"/>
      <c r="K155" s="18"/>
      <c r="L155" s="18"/>
      <c r="M155" s="18"/>
      <c r="N155" s="18"/>
      <c r="O155" s="383"/>
    </row>
    <row r="156" spans="1:15" ht="18.75" x14ac:dyDescent="0.25">
      <c r="A156" s="378"/>
      <c r="B156" s="18"/>
      <c r="C156" s="18"/>
      <c r="D156" s="18"/>
      <c r="E156" s="18"/>
      <c r="F156" s="18"/>
      <c r="G156" s="18"/>
      <c r="H156" s="18"/>
      <c r="I156" s="18"/>
      <c r="J156" s="18"/>
      <c r="K156" s="18"/>
      <c r="L156" s="18"/>
      <c r="M156" s="18"/>
      <c r="N156" s="18"/>
      <c r="O156" s="396"/>
    </row>
    <row r="157" spans="1:15" x14ac:dyDescent="0.25">
      <c r="A157" s="378"/>
      <c r="B157" s="18"/>
      <c r="C157" s="18"/>
      <c r="D157" s="18"/>
      <c r="E157" s="18"/>
      <c r="F157" s="18"/>
      <c r="G157" s="18"/>
      <c r="H157" s="18"/>
      <c r="I157" s="18"/>
      <c r="J157" s="18"/>
      <c r="K157" s="18"/>
      <c r="L157" s="18"/>
      <c r="M157" s="18"/>
      <c r="N157" s="18"/>
      <c r="O157" s="383"/>
    </row>
    <row r="158" spans="1:15" x14ac:dyDescent="0.25">
      <c r="A158" s="378"/>
      <c r="B158" s="18"/>
      <c r="C158" s="18"/>
      <c r="D158" s="18"/>
      <c r="E158" s="18"/>
      <c r="F158" s="18"/>
      <c r="G158" s="18"/>
      <c r="H158" s="18"/>
      <c r="I158" s="18"/>
      <c r="J158" s="18"/>
      <c r="K158" s="18"/>
      <c r="L158" s="18"/>
      <c r="M158" s="18"/>
      <c r="N158" s="18"/>
      <c r="O158" s="383"/>
    </row>
    <row r="159" spans="1:15" x14ac:dyDescent="0.25">
      <c r="A159" s="378"/>
      <c r="B159" s="18"/>
      <c r="C159" s="18"/>
      <c r="D159" s="18"/>
      <c r="E159" s="18"/>
      <c r="F159" s="18"/>
      <c r="G159" s="18"/>
      <c r="H159" s="18"/>
      <c r="I159" s="18"/>
      <c r="J159" s="18"/>
      <c r="K159" s="18"/>
      <c r="L159" s="18"/>
      <c r="M159" s="18"/>
      <c r="N159" s="18"/>
      <c r="O159" s="383"/>
    </row>
    <row r="160" spans="1:15" x14ac:dyDescent="0.25">
      <c r="A160" s="378"/>
      <c r="B160" s="18"/>
      <c r="C160" s="18"/>
      <c r="D160" s="18"/>
      <c r="E160" s="18"/>
      <c r="F160" s="18"/>
      <c r="G160" s="18"/>
      <c r="H160" s="18"/>
      <c r="I160" s="18"/>
      <c r="J160" s="18"/>
      <c r="K160" s="18"/>
      <c r="L160" s="18"/>
      <c r="M160" s="18"/>
      <c r="N160" s="18"/>
      <c r="O160" s="383"/>
    </row>
    <row r="161" spans="1:15" ht="18.75" x14ac:dyDescent="0.25">
      <c r="A161" s="378"/>
      <c r="B161" s="18"/>
      <c r="C161" s="18"/>
      <c r="D161" s="18"/>
      <c r="E161" s="18"/>
      <c r="F161" s="18"/>
      <c r="G161" s="18"/>
      <c r="H161" s="18"/>
      <c r="I161" s="18"/>
      <c r="J161" s="18"/>
      <c r="K161" s="18"/>
      <c r="L161" s="18"/>
      <c r="M161" s="18"/>
      <c r="N161" s="18"/>
      <c r="O161" s="396"/>
    </row>
    <row r="162" spans="1:15" x14ac:dyDescent="0.25">
      <c r="A162" s="389"/>
      <c r="B162" s="95"/>
      <c r="C162" s="290"/>
      <c r="D162" s="290"/>
      <c r="E162" s="290"/>
      <c r="F162" s="290"/>
      <c r="G162" s="290"/>
      <c r="H162" s="290"/>
      <c r="I162" s="290"/>
      <c r="J162" s="290"/>
      <c r="K162" s="290"/>
      <c r="L162" s="290"/>
      <c r="M162" s="290"/>
      <c r="N162" s="290"/>
      <c r="O162" s="409"/>
    </row>
    <row r="163" spans="1:15" ht="30" customHeight="1" thickBot="1" x14ac:dyDescent="0.3">
      <c r="A163" s="545"/>
      <c r="B163" s="546"/>
      <c r="C163" s="546"/>
      <c r="D163" s="546"/>
      <c r="E163" s="546"/>
      <c r="F163" s="546"/>
      <c r="G163" s="546"/>
      <c r="H163" s="546"/>
      <c r="I163" s="546"/>
      <c r="J163" s="546"/>
      <c r="K163" s="546"/>
      <c r="L163" s="546"/>
      <c r="M163" s="546"/>
      <c r="N163" s="546"/>
      <c r="O163" s="547"/>
    </row>
    <row r="164" spans="1:15" ht="18.75" x14ac:dyDescent="0.3">
      <c r="O164" s="7"/>
    </row>
    <row r="165" spans="1:15" x14ac:dyDescent="0.25">
      <c r="O165" s="2"/>
    </row>
    <row r="166" spans="1:15" x14ac:dyDescent="0.25">
      <c r="O166" s="2"/>
    </row>
    <row r="167" spans="1:15" x14ac:dyDescent="0.25">
      <c r="O167" s="2"/>
    </row>
  </sheetData>
  <sheetProtection password="E0F0" sheet="1" objects="1" scenarios="1"/>
  <dataConsolidate/>
  <mergeCells count="33">
    <mergeCell ref="A163:O163"/>
    <mergeCell ref="A8:O8"/>
    <mergeCell ref="D46:H46"/>
    <mergeCell ref="A146:O146"/>
    <mergeCell ref="A73:O73"/>
    <mergeCell ref="A72:O72"/>
    <mergeCell ref="D42:H42"/>
    <mergeCell ref="A125:O125"/>
    <mergeCell ref="A126:O126"/>
    <mergeCell ref="A105:O105"/>
    <mergeCell ref="A120:O120"/>
    <mergeCell ref="A51:O51"/>
    <mergeCell ref="A1:O1"/>
    <mergeCell ref="A52:O52"/>
    <mergeCell ref="D5:O5"/>
    <mergeCell ref="A37:O37"/>
    <mergeCell ref="A61:O61"/>
    <mergeCell ref="A28:O28"/>
    <mergeCell ref="A2:O2"/>
    <mergeCell ref="A3:C3"/>
    <mergeCell ref="D7:O7"/>
    <mergeCell ref="D6:O6"/>
    <mergeCell ref="A6:C6"/>
    <mergeCell ref="D4:O4"/>
    <mergeCell ref="A23:O23"/>
    <mergeCell ref="D3:O3"/>
    <mergeCell ref="A9:O9"/>
    <mergeCell ref="A18:O18"/>
    <mergeCell ref="A4:C4"/>
    <mergeCell ref="A82:O82"/>
    <mergeCell ref="A5:C5"/>
    <mergeCell ref="A110:O110"/>
    <mergeCell ref="A93:O93"/>
  </mergeCells>
  <pageMargins left="0.7" right="0.7" top="0.75" bottom="0.75" header="0.3" footer="0.3"/>
  <pageSetup paperSize="8" scale="66"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3" id="{87384AE5-F1A5-4941-8614-534AC1D0C49E}">
            <x14:iconSet showValue="0" custom="1">
              <x14:cfvo type="percent">
                <xm:f>0</xm:f>
              </x14:cfvo>
              <x14:cfvo type="num" gte="0">
                <xm:f>0</xm:f>
              </x14:cfvo>
              <x14:cfvo type="num">
                <xm:f>1</xm:f>
              </x14:cfvo>
              <x14:cfIcon iconSet="NoIcons" iconId="0"/>
              <x14:cfIcon iconSet="NoIcons" iconId="0"/>
              <x14:cfIcon iconSet="3Symbols2" iconId="1"/>
            </x14:iconSet>
          </x14:cfRule>
          <xm:sqref>A108</xm:sqref>
        </x14:conditionalFormatting>
        <x14:conditionalFormatting xmlns:xm="http://schemas.microsoft.com/office/excel/2006/main">
          <x14:cfRule type="iconSet" priority="2" id="{38CF30E6-0C7E-4001-8EE5-8030C0E4A26C}">
            <x14:iconSet showValue="0" custom="1">
              <x14:cfvo type="percent">
                <xm:f>0</xm:f>
              </x14:cfvo>
              <x14:cfvo type="num" gte="0">
                <xm:f>0</xm:f>
              </x14:cfvo>
              <x14:cfvo type="num">
                <xm:f>1</xm:f>
              </x14:cfvo>
              <x14:cfIcon iconSet="NoIcons" iconId="0"/>
              <x14:cfIcon iconSet="NoIcons" iconId="0"/>
              <x14:cfIcon iconSet="3Symbols2" iconId="1"/>
            </x14:iconSet>
          </x14:cfRule>
          <xm:sqref>G108</xm:sqref>
        </x14:conditionalFormatting>
        <x14:conditionalFormatting xmlns:xm="http://schemas.microsoft.com/office/excel/2006/main">
          <x14:cfRule type="iconSet" priority="1" id="{656BC074-2E11-4E7C-9B9B-B9EEFAF59099}">
            <x14:iconSet showValue="0" custom="1">
              <x14:cfvo type="percent">
                <xm:f>0</xm:f>
              </x14:cfvo>
              <x14:cfvo type="num" gte="0">
                <xm:f>0</xm:f>
              </x14:cfvo>
              <x14:cfvo type="num">
                <xm:f>1</xm:f>
              </x14:cfvo>
              <x14:cfIcon iconSet="NoIcons" iconId="0"/>
              <x14:cfIcon iconSet="NoIcons" iconId="0"/>
              <x14:cfIcon iconSet="3Symbols2" iconId="1"/>
            </x14:iconSet>
          </x14:cfRule>
          <xm:sqref>K108</xm:sqref>
        </x14:conditionalFormatting>
      </x14:conditionalFormattings>
    </ext>
    <ext xmlns:x14="http://schemas.microsoft.com/office/spreadsheetml/2009/9/main" uri="{CCE6A557-97BC-4b89-ADB6-D9C93CAAB3DF}">
      <x14:dataValidations xmlns:xm="http://schemas.microsoft.com/office/excel/2006/main" count="18">
        <x14:dataValidation type="list" allowBlank="1" showInputMessage="1" showErrorMessage="1">
          <x14:formula1>
            <xm:f>'Algemeen en kostprijzen'!$A$35:$A$39</xm:f>
          </x14:formula1>
          <xm:sqref>B56</xm:sqref>
        </x14:dataValidation>
        <x14:dataValidation type="list" allowBlank="1" showInputMessage="1" showErrorMessage="1">
          <x14:formula1>
            <xm:f>'Algemeen en kostprijzen'!$A$35:$A$39</xm:f>
          </x14:formula1>
          <xm:sqref>B77</xm:sqref>
        </x14:dataValidation>
        <x14:dataValidation type="list" allowBlank="1" showInputMessage="1" showErrorMessage="1">
          <x14:formula1>
            <xm:f>'Algemeen en kostprijzen'!$A$27:$A$32</xm:f>
          </x14:formula1>
          <xm:sqref>B75</xm:sqref>
        </x14:dataValidation>
        <x14:dataValidation type="list" showInputMessage="1" showErrorMessage="1">
          <x14:formula1>
            <xm:f>'Algemeen en kostprijzen'!$A$53:$A$56</xm:f>
          </x14:formula1>
          <xm:sqref>D85</xm:sqref>
        </x14:dataValidation>
        <x14:dataValidation type="list" allowBlank="1" showInputMessage="1" showErrorMessage="1">
          <x14:formula1>
            <xm:f>'Algemeen en kostprijzen'!$A$35:$A$39</xm:f>
          </x14:formula1>
          <xm:sqref>B96</xm:sqref>
        </x14:dataValidation>
        <x14:dataValidation type="list" allowBlank="1" showInputMessage="1" showErrorMessage="1">
          <x14:formula1>
            <xm:f>'Algemeen en kostprijzen'!$A$27:$A$32</xm:f>
          </x14:formula1>
          <xm:sqref>B54</xm:sqref>
        </x14:dataValidation>
        <x14:dataValidation type="list" allowBlank="1" showInputMessage="1" showErrorMessage="1">
          <x14:formula1>
            <xm:f>'Algemeen en kostprijzen'!$A$84:$A$85</xm:f>
          </x14:formula1>
          <xm:sqref>B123</xm:sqref>
        </x14:dataValidation>
        <x14:dataValidation type="list" allowBlank="1" showInputMessage="1" showErrorMessage="1">
          <x14:formula1>
            <xm:f>'Algemeen en kostprijzen'!$A$49:$A$50</xm:f>
          </x14:formula1>
          <xm:sqref>B100</xm:sqref>
        </x14:dataValidation>
        <x14:dataValidation type="list" allowBlank="1" showInputMessage="1" showErrorMessage="1">
          <x14:formula1>
            <xm:f>'Algemeen en kostprijzen'!$A$60:$A$65</xm:f>
          </x14:formula1>
          <xm:sqref>D113</xm:sqref>
        </x14:dataValidation>
        <x14:dataValidation type="list" allowBlank="1" showInputMessage="1" showErrorMessage="1">
          <x14:formula1>
            <xm:f>'Algemeen en kostprijzen'!$A$6:$A$21</xm:f>
          </x14:formula1>
          <xm:sqref>B14</xm:sqref>
        </x14:dataValidation>
        <x14:dataValidation type="list" allowBlank="1" showInputMessage="1" showErrorMessage="1">
          <x14:formula1>
            <xm:f>'Algemeen en kostprijzen'!$A$42:$A$46</xm:f>
          </x14:formula1>
          <xm:sqref>B98</xm:sqref>
        </x14:dataValidation>
        <x14:dataValidation type="list" allowBlank="1" showInputMessage="1" showErrorMessage="1">
          <x14:formula1>
            <xm:f>'Algemeen en kostprijzen'!$A$71:$A$75</xm:f>
          </x14:formula1>
          <xm:sqref>L108</xm:sqref>
        </x14:dataValidation>
        <x14:dataValidation type="list" allowBlank="1" showInputMessage="1" showErrorMessage="1">
          <x14:formula1>
            <xm:f>'Algemeen en kostprijzen'!$A$78:$A$81</xm:f>
          </x14:formula1>
          <xm:sqref>H108</xm:sqref>
        </x14:dataValidation>
        <x14:dataValidation type="list" allowBlank="1" showInputMessage="1" showErrorMessage="1">
          <x14:formula1>
            <xm:f>Volumebepaling!$B$43:$B$45</xm:f>
          </x14:formula1>
          <xm:sqref>B35</xm:sqref>
        </x14:dataValidation>
        <x14:dataValidation type="list" showInputMessage="1" showErrorMessage="1">
          <x14:formula1>
            <xm:f>'Algemeen en kostprijzen'!$A$53:$A$56</xm:f>
          </x14:formula1>
          <xm:sqref>D64</xm:sqref>
        </x14:dataValidation>
        <x14:dataValidation type="list" allowBlank="1" showInputMessage="1" showErrorMessage="1">
          <x14:formula1>
            <xm:f>'Algemeen en kostprijzen'!$B$5:$AK$5</xm:f>
          </x14:formula1>
          <xm:sqref>F14</xm:sqref>
        </x14:dataValidation>
        <x14:dataValidation type="list" allowBlank="1" showInputMessage="1" showErrorMessage="1">
          <x14:formula1>
            <xm:f>'Algemeen en kostprijzen'!$B$5:$AK$5</xm:f>
          </x14:formula1>
          <xm:sqref>B108</xm:sqref>
        </x14:dataValidation>
        <x14:dataValidation type="list" allowBlank="1" showInputMessage="1" showErrorMessage="1">
          <x14:formula1>
            <xm:f>Volumebepaling!$G$35:$I$35</xm:f>
          </x14:formula1>
          <xm:sqref>B33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FFFF00"/>
  </sheetPr>
  <dimension ref="A1:AL125"/>
  <sheetViews>
    <sheetView zoomScaleNormal="100" workbookViewId="0">
      <selection activeCell="B7" sqref="B7"/>
    </sheetView>
  </sheetViews>
  <sheetFormatPr defaultRowHeight="15" x14ac:dyDescent="0.25"/>
  <cols>
    <col min="1" max="1" width="36.7109375" customWidth="1"/>
    <col min="2" max="9" width="18.7109375" customWidth="1"/>
    <col min="10" max="10" width="18.140625" customWidth="1"/>
    <col min="11" max="38" width="18.7109375" customWidth="1"/>
  </cols>
  <sheetData>
    <row r="1" spans="1:38" ht="24" customHeight="1" x14ac:dyDescent="0.25">
      <c r="A1" s="213" t="s">
        <v>286</v>
      </c>
      <c r="B1" s="213"/>
      <c r="C1" s="213"/>
      <c r="D1" s="213"/>
      <c r="E1" s="213"/>
      <c r="F1" s="43"/>
      <c r="G1" s="43"/>
      <c r="H1" s="43"/>
      <c r="I1" s="43"/>
      <c r="J1" s="43"/>
      <c r="K1" s="43"/>
      <c r="L1" s="43"/>
    </row>
    <row r="2" spans="1:38" ht="15" customHeight="1" x14ac:dyDescent="0.25">
      <c r="A2" s="213"/>
      <c r="B2" s="213"/>
      <c r="C2" s="213"/>
      <c r="D2" s="213"/>
      <c r="E2" s="43"/>
      <c r="F2" s="43"/>
      <c r="G2" s="43"/>
      <c r="H2" s="43"/>
      <c r="I2" s="43"/>
      <c r="J2" s="43"/>
      <c r="K2" s="43"/>
      <c r="L2" s="43"/>
    </row>
    <row r="3" spans="1:38" ht="15" customHeight="1" x14ac:dyDescent="0.25">
      <c r="A3" s="559" t="s">
        <v>162</v>
      </c>
      <c r="B3" s="559"/>
      <c r="C3" s="559"/>
      <c r="D3" s="559"/>
      <c r="E3" s="559"/>
      <c r="F3" s="559"/>
      <c r="G3" s="559"/>
      <c r="H3" s="559"/>
      <c r="I3" s="559"/>
      <c r="J3" s="559"/>
      <c r="K3" s="43"/>
      <c r="L3" s="43"/>
    </row>
    <row r="4" spans="1:38" s="180" customFormat="1" ht="5.25" customHeight="1" x14ac:dyDescent="0.25"/>
    <row r="5" spans="1:38" ht="15" customHeight="1" thickBot="1" x14ac:dyDescent="0.3">
      <c r="A5" s="214" t="s">
        <v>169</v>
      </c>
      <c r="B5" s="215">
        <v>0.65</v>
      </c>
      <c r="C5" s="215">
        <v>0.64</v>
      </c>
      <c r="D5" s="215">
        <v>0.63</v>
      </c>
      <c r="E5" s="215">
        <v>0.62</v>
      </c>
      <c r="F5" s="215">
        <v>0.61</v>
      </c>
      <c r="G5" s="215">
        <v>0.6</v>
      </c>
      <c r="H5" s="464">
        <v>0.59</v>
      </c>
      <c r="I5" s="464">
        <v>0.57999999999999996</v>
      </c>
      <c r="J5" s="464">
        <v>0.56999999999999995</v>
      </c>
      <c r="K5" s="464">
        <v>0.56000000000000005</v>
      </c>
      <c r="L5" s="216">
        <v>0.55000000000000004</v>
      </c>
      <c r="M5" s="465">
        <v>0.54</v>
      </c>
      <c r="N5" s="465">
        <v>0.53</v>
      </c>
      <c r="O5" s="465">
        <v>0.52</v>
      </c>
      <c r="P5" s="465">
        <v>0.51</v>
      </c>
      <c r="Q5" s="217">
        <v>0.5</v>
      </c>
      <c r="R5" s="465">
        <v>0.49</v>
      </c>
      <c r="S5" s="465">
        <v>0.48</v>
      </c>
      <c r="T5" s="465">
        <v>0.47</v>
      </c>
      <c r="U5" s="465">
        <v>0.46</v>
      </c>
      <c r="V5" s="217">
        <v>0.45</v>
      </c>
      <c r="W5" s="465">
        <v>0.44</v>
      </c>
      <c r="X5" s="465">
        <v>0.43</v>
      </c>
      <c r="Y5" s="465">
        <v>0.42</v>
      </c>
      <c r="Z5" s="465">
        <v>0.41</v>
      </c>
      <c r="AA5" s="217">
        <v>0.4</v>
      </c>
      <c r="AB5" s="465">
        <v>0.39</v>
      </c>
      <c r="AC5" s="465">
        <v>0.38</v>
      </c>
      <c r="AD5" s="465">
        <v>0.37</v>
      </c>
      <c r="AE5" s="465">
        <v>0.36</v>
      </c>
      <c r="AF5" s="218">
        <v>0.35</v>
      </c>
      <c r="AG5" s="465">
        <v>0.34</v>
      </c>
      <c r="AH5" s="465">
        <v>0.33</v>
      </c>
      <c r="AI5" s="465">
        <v>0.32</v>
      </c>
      <c r="AJ5" s="465">
        <v>0.31</v>
      </c>
      <c r="AK5" s="474">
        <v>0.3</v>
      </c>
      <c r="AL5" s="219" t="s">
        <v>19</v>
      </c>
    </row>
    <row r="6" spans="1:38" ht="15" customHeight="1" x14ac:dyDescent="0.25">
      <c r="A6" s="220" t="s">
        <v>10</v>
      </c>
      <c r="B6" s="233">
        <v>1595</v>
      </c>
      <c r="C6" s="233">
        <v>1551</v>
      </c>
      <c r="D6" s="233">
        <v>1509</v>
      </c>
      <c r="E6" s="233">
        <v>1469</v>
      </c>
      <c r="F6" s="209">
        <v>1431</v>
      </c>
      <c r="G6" s="221">
        <v>1396</v>
      </c>
      <c r="H6" s="233">
        <v>1362</v>
      </c>
      <c r="I6" s="233">
        <v>1329</v>
      </c>
      <c r="J6" s="233">
        <v>1298</v>
      </c>
      <c r="K6" s="233">
        <v>1269</v>
      </c>
      <c r="L6" s="222">
        <v>1241</v>
      </c>
      <c r="M6" s="233">
        <v>1214</v>
      </c>
      <c r="N6" s="233">
        <v>1188</v>
      </c>
      <c r="O6" s="233">
        <v>1163</v>
      </c>
      <c r="P6" s="233">
        <v>1139</v>
      </c>
      <c r="Q6" s="222">
        <v>1117</v>
      </c>
      <c r="R6" s="233">
        <v>1095</v>
      </c>
      <c r="S6" s="466">
        <v>1074</v>
      </c>
      <c r="T6" s="466">
        <v>1053</v>
      </c>
      <c r="U6" s="466">
        <v>1034</v>
      </c>
      <c r="V6" s="222">
        <v>1015</v>
      </c>
      <c r="W6" s="233">
        <v>997</v>
      </c>
      <c r="X6" s="233">
        <v>979</v>
      </c>
      <c r="Y6" s="233">
        <v>963</v>
      </c>
      <c r="Z6" s="233">
        <v>946</v>
      </c>
      <c r="AA6" s="222">
        <v>930</v>
      </c>
      <c r="AB6" s="209">
        <v>915</v>
      </c>
      <c r="AC6" s="233">
        <v>900</v>
      </c>
      <c r="AD6" s="233">
        <v>886</v>
      </c>
      <c r="AE6" s="233">
        <v>872</v>
      </c>
      <c r="AF6" s="222">
        <v>859</v>
      </c>
      <c r="AG6" s="233">
        <v>846</v>
      </c>
      <c r="AH6" s="466">
        <v>833</v>
      </c>
      <c r="AI6" s="466">
        <v>821</v>
      </c>
      <c r="AJ6" s="466">
        <v>809</v>
      </c>
      <c r="AK6" s="475">
        <v>798</v>
      </c>
      <c r="AL6" s="470"/>
    </row>
    <row r="7" spans="1:38" ht="15" customHeight="1" x14ac:dyDescent="0.25">
      <c r="A7" s="224" t="s">
        <v>132</v>
      </c>
      <c r="B7" s="221">
        <v>1639</v>
      </c>
      <c r="C7" s="221">
        <v>1593</v>
      </c>
      <c r="D7" s="221">
        <v>1550</v>
      </c>
      <c r="E7" s="221">
        <v>1509</v>
      </c>
      <c r="F7" s="209">
        <v>1471</v>
      </c>
      <c r="G7" s="221">
        <v>1434</v>
      </c>
      <c r="H7" s="221">
        <v>1399</v>
      </c>
      <c r="I7" s="221">
        <v>1366</v>
      </c>
      <c r="J7" s="221">
        <v>1334</v>
      </c>
      <c r="K7" s="221">
        <v>1304</v>
      </c>
      <c r="L7" s="222">
        <v>1275</v>
      </c>
      <c r="M7" s="221">
        <v>1247</v>
      </c>
      <c r="N7" s="221">
        <v>1220</v>
      </c>
      <c r="O7" s="221">
        <v>1195</v>
      </c>
      <c r="P7" s="221">
        <v>1170</v>
      </c>
      <c r="Q7" s="222">
        <v>1147</v>
      </c>
      <c r="R7" s="221">
        <v>1125</v>
      </c>
      <c r="S7" s="467">
        <v>1103</v>
      </c>
      <c r="T7" s="467">
        <v>1082</v>
      </c>
      <c r="U7" s="467">
        <v>1062</v>
      </c>
      <c r="V7" s="222">
        <v>1043</v>
      </c>
      <c r="W7" s="221">
        <v>1024</v>
      </c>
      <c r="X7" s="221">
        <v>1006</v>
      </c>
      <c r="Y7" s="221">
        <v>989</v>
      </c>
      <c r="Z7" s="221">
        <v>972</v>
      </c>
      <c r="AA7" s="222">
        <v>956</v>
      </c>
      <c r="AB7" s="221">
        <v>940</v>
      </c>
      <c r="AC7" s="467">
        <v>925</v>
      </c>
      <c r="AD7" s="221">
        <v>910</v>
      </c>
      <c r="AE7" s="221">
        <v>896</v>
      </c>
      <c r="AF7" s="222">
        <v>882</v>
      </c>
      <c r="AG7" s="221">
        <v>869</v>
      </c>
      <c r="AH7" s="467">
        <v>856</v>
      </c>
      <c r="AI7" s="467">
        <v>843</v>
      </c>
      <c r="AJ7" s="467">
        <v>831</v>
      </c>
      <c r="AK7" s="475">
        <v>819</v>
      </c>
      <c r="AL7" s="206">
        <f>MATCH('Rekenblad '!B14,'Algemeen en kostprijzen'!A5:A21,0)</f>
        <v>2</v>
      </c>
    </row>
    <row r="8" spans="1:38" ht="15" customHeight="1" x14ac:dyDescent="0.25">
      <c r="A8" s="224" t="s">
        <v>130</v>
      </c>
      <c r="B8" s="221">
        <v>1673</v>
      </c>
      <c r="C8" s="221">
        <v>1626</v>
      </c>
      <c r="D8" s="221">
        <v>1582</v>
      </c>
      <c r="E8" s="221">
        <v>1541</v>
      </c>
      <c r="F8" s="209">
        <v>1501</v>
      </c>
      <c r="G8" s="221">
        <v>1464</v>
      </c>
      <c r="H8" s="221">
        <v>1428</v>
      </c>
      <c r="I8" s="221">
        <v>1394</v>
      </c>
      <c r="J8" s="221">
        <v>1362</v>
      </c>
      <c r="K8" s="221">
        <v>1331</v>
      </c>
      <c r="L8" s="156">
        <v>1301</v>
      </c>
      <c r="M8" s="221">
        <v>1273</v>
      </c>
      <c r="N8" s="221">
        <v>1246</v>
      </c>
      <c r="O8" s="221">
        <v>1220</v>
      </c>
      <c r="P8" s="209">
        <v>1195</v>
      </c>
      <c r="Q8" s="225">
        <v>1171</v>
      </c>
      <c r="R8" s="221">
        <v>1148</v>
      </c>
      <c r="S8" s="467">
        <v>1126</v>
      </c>
      <c r="T8" s="467">
        <v>1105</v>
      </c>
      <c r="U8" s="209">
        <v>1084</v>
      </c>
      <c r="V8" s="225">
        <v>1065</v>
      </c>
      <c r="W8" s="221">
        <v>1046</v>
      </c>
      <c r="X8" s="221">
        <v>1027</v>
      </c>
      <c r="Y8" s="221">
        <v>1009</v>
      </c>
      <c r="Z8" s="209">
        <v>992</v>
      </c>
      <c r="AA8" s="225">
        <v>976</v>
      </c>
      <c r="AB8" s="221">
        <v>960</v>
      </c>
      <c r="AC8" s="467">
        <v>944</v>
      </c>
      <c r="AD8" s="221">
        <v>929</v>
      </c>
      <c r="AE8" s="209">
        <v>915</v>
      </c>
      <c r="AF8" s="225">
        <v>901</v>
      </c>
      <c r="AG8" s="221">
        <v>887</v>
      </c>
      <c r="AH8" s="467">
        <v>874</v>
      </c>
      <c r="AI8" s="467">
        <v>861</v>
      </c>
      <c r="AJ8" s="209">
        <v>849</v>
      </c>
      <c r="AK8" s="476">
        <v>836</v>
      </c>
      <c r="AL8" s="206">
        <f>MATCH('Rekenblad '!F14,'Algemeen en kostprijzen'!A5:AK5,0)</f>
        <v>7</v>
      </c>
    </row>
    <row r="9" spans="1:38" ht="15" customHeight="1" x14ac:dyDescent="0.25">
      <c r="A9" s="224" t="s">
        <v>82</v>
      </c>
      <c r="B9" s="221">
        <v>1010</v>
      </c>
      <c r="C9" s="221">
        <v>982</v>
      </c>
      <c r="D9" s="221">
        <v>955</v>
      </c>
      <c r="E9" s="221">
        <v>930</v>
      </c>
      <c r="F9" s="209">
        <v>906</v>
      </c>
      <c r="G9" s="221">
        <v>884</v>
      </c>
      <c r="H9" s="221">
        <v>862</v>
      </c>
      <c r="I9" s="221">
        <v>841</v>
      </c>
      <c r="J9" s="221">
        <v>822</v>
      </c>
      <c r="K9" s="221">
        <v>803</v>
      </c>
      <c r="L9" s="156">
        <v>785</v>
      </c>
      <c r="M9" s="221">
        <v>768</v>
      </c>
      <c r="N9" s="221">
        <v>752</v>
      </c>
      <c r="O9" s="221">
        <v>736</v>
      </c>
      <c r="P9" s="209">
        <v>721</v>
      </c>
      <c r="Q9" s="226">
        <v>707</v>
      </c>
      <c r="R9" s="221">
        <v>693</v>
      </c>
      <c r="S9" s="467">
        <v>680</v>
      </c>
      <c r="T9" s="467">
        <v>667</v>
      </c>
      <c r="U9" s="209">
        <v>654</v>
      </c>
      <c r="V9" s="227">
        <v>643</v>
      </c>
      <c r="W9" s="221">
        <v>631</v>
      </c>
      <c r="X9" s="221">
        <v>620</v>
      </c>
      <c r="Y9" s="221">
        <v>609</v>
      </c>
      <c r="Z9" s="209">
        <v>599</v>
      </c>
      <c r="AA9" s="227">
        <v>589</v>
      </c>
      <c r="AB9" s="221">
        <v>579</v>
      </c>
      <c r="AC9" s="467">
        <v>570</v>
      </c>
      <c r="AD9" s="221">
        <v>561</v>
      </c>
      <c r="AE9" s="209">
        <v>552</v>
      </c>
      <c r="AF9" s="227">
        <v>544</v>
      </c>
      <c r="AG9" s="221">
        <v>535</v>
      </c>
      <c r="AH9" s="467">
        <v>527</v>
      </c>
      <c r="AI9" s="467">
        <v>520</v>
      </c>
      <c r="AJ9" s="209">
        <v>512</v>
      </c>
      <c r="AK9" s="477">
        <v>505</v>
      </c>
      <c r="AL9" s="473"/>
    </row>
    <row r="10" spans="1:38" ht="15" customHeight="1" x14ac:dyDescent="0.25">
      <c r="A10" s="224" t="s">
        <v>131</v>
      </c>
      <c r="B10" s="221">
        <v>1574</v>
      </c>
      <c r="C10" s="221">
        <v>1531</v>
      </c>
      <c r="D10" s="221">
        <v>1489</v>
      </c>
      <c r="E10" s="221">
        <v>1450</v>
      </c>
      <c r="F10" s="209">
        <v>1413</v>
      </c>
      <c r="G10" s="221">
        <v>1378</v>
      </c>
      <c r="H10" s="221">
        <v>1344</v>
      </c>
      <c r="I10" s="221">
        <v>1312</v>
      </c>
      <c r="J10" s="221">
        <v>1281</v>
      </c>
      <c r="K10" s="221">
        <v>1252</v>
      </c>
      <c r="L10" s="156">
        <v>1225</v>
      </c>
      <c r="M10" s="221">
        <v>1198</v>
      </c>
      <c r="N10" s="221">
        <v>1172</v>
      </c>
      <c r="O10" s="221">
        <v>1148</v>
      </c>
      <c r="P10" s="209">
        <v>1125</v>
      </c>
      <c r="Q10" s="225">
        <v>1102</v>
      </c>
      <c r="R10" s="221">
        <v>1080</v>
      </c>
      <c r="S10" s="467">
        <v>1060</v>
      </c>
      <c r="T10" s="467">
        <v>1040</v>
      </c>
      <c r="U10" s="209">
        <v>1020</v>
      </c>
      <c r="V10" s="225">
        <v>1002</v>
      </c>
      <c r="W10" s="221">
        <v>984</v>
      </c>
      <c r="X10" s="221">
        <v>967</v>
      </c>
      <c r="Y10" s="221">
        <v>950</v>
      </c>
      <c r="Z10" s="209">
        <v>934</v>
      </c>
      <c r="AA10" s="225">
        <v>918</v>
      </c>
      <c r="AB10" s="221">
        <v>903</v>
      </c>
      <c r="AC10" s="467">
        <v>889</v>
      </c>
      <c r="AD10" s="221">
        <v>875</v>
      </c>
      <c r="AE10" s="209">
        <v>861</v>
      </c>
      <c r="AF10" s="225">
        <v>848</v>
      </c>
      <c r="AG10" s="221">
        <v>835</v>
      </c>
      <c r="AH10" s="467">
        <v>822</v>
      </c>
      <c r="AI10" s="467">
        <v>810</v>
      </c>
      <c r="AJ10" s="209">
        <v>799</v>
      </c>
      <c r="AK10" s="477">
        <v>787</v>
      </c>
      <c r="AL10" s="470"/>
    </row>
    <row r="11" spans="1:38" ht="15" customHeight="1" x14ac:dyDescent="0.25">
      <c r="A11" s="224" t="s">
        <v>134</v>
      </c>
      <c r="B11" s="221">
        <v>1343</v>
      </c>
      <c r="C11" s="221">
        <v>1306</v>
      </c>
      <c r="D11" s="221">
        <v>1271</v>
      </c>
      <c r="E11" s="221">
        <v>1237</v>
      </c>
      <c r="F11" s="209">
        <v>1205</v>
      </c>
      <c r="G11" s="221">
        <v>1175</v>
      </c>
      <c r="H11" s="221">
        <v>1147</v>
      </c>
      <c r="I11" s="221">
        <v>1119</v>
      </c>
      <c r="J11" s="221">
        <v>1093</v>
      </c>
      <c r="K11" s="221">
        <v>1068</v>
      </c>
      <c r="L11" s="156">
        <v>1045</v>
      </c>
      <c r="M11" s="221">
        <v>1022</v>
      </c>
      <c r="N11" s="221">
        <v>1000</v>
      </c>
      <c r="O11" s="221">
        <v>979</v>
      </c>
      <c r="P11" s="209">
        <v>959</v>
      </c>
      <c r="Q11" s="225">
        <v>940</v>
      </c>
      <c r="R11" s="221">
        <v>922</v>
      </c>
      <c r="S11" s="467">
        <v>904</v>
      </c>
      <c r="T11" s="467">
        <v>887</v>
      </c>
      <c r="U11" s="209">
        <v>871</v>
      </c>
      <c r="V11" s="227">
        <v>855</v>
      </c>
      <c r="W11" s="221">
        <v>839</v>
      </c>
      <c r="X11" s="221">
        <v>825</v>
      </c>
      <c r="Y11" s="221">
        <v>811</v>
      </c>
      <c r="Z11" s="209">
        <v>797</v>
      </c>
      <c r="AA11" s="225">
        <v>784</v>
      </c>
      <c r="AB11" s="221">
        <v>771</v>
      </c>
      <c r="AC11" s="467">
        <v>758</v>
      </c>
      <c r="AD11" s="221">
        <v>746</v>
      </c>
      <c r="AE11" s="209">
        <v>735</v>
      </c>
      <c r="AF11" s="227">
        <v>723</v>
      </c>
      <c r="AG11" s="221">
        <v>712</v>
      </c>
      <c r="AH11" s="467">
        <v>702</v>
      </c>
      <c r="AI11" s="467">
        <v>691</v>
      </c>
      <c r="AJ11" s="209">
        <v>681</v>
      </c>
      <c r="AK11" s="476">
        <v>672</v>
      </c>
      <c r="AL11" s="470"/>
    </row>
    <row r="12" spans="1:38" ht="15" customHeight="1" x14ac:dyDescent="0.25">
      <c r="A12" s="224" t="s">
        <v>135</v>
      </c>
      <c r="B12" s="221">
        <v>1662</v>
      </c>
      <c r="C12" s="221">
        <v>1615</v>
      </c>
      <c r="D12" s="221">
        <v>1572</v>
      </c>
      <c r="E12" s="221">
        <v>1530</v>
      </c>
      <c r="F12" s="209">
        <v>1491</v>
      </c>
      <c r="G12" s="221">
        <v>1454</v>
      </c>
      <c r="H12" s="221">
        <v>1418</v>
      </c>
      <c r="I12" s="221">
        <v>1385</v>
      </c>
      <c r="J12" s="221">
        <v>1352</v>
      </c>
      <c r="K12" s="221">
        <v>1322</v>
      </c>
      <c r="L12" s="156">
        <v>1292</v>
      </c>
      <c r="M12" s="221">
        <v>1264</v>
      </c>
      <c r="N12" s="221">
        <v>1237</v>
      </c>
      <c r="O12" s="221">
        <v>1212</v>
      </c>
      <c r="P12" s="209">
        <v>1187</v>
      </c>
      <c r="Q12" s="225">
        <v>1163</v>
      </c>
      <c r="R12" s="221">
        <v>1140</v>
      </c>
      <c r="S12" s="467">
        <v>1118</v>
      </c>
      <c r="T12" s="467">
        <v>1097</v>
      </c>
      <c r="U12" s="209">
        <v>1077</v>
      </c>
      <c r="V12" s="227">
        <v>1057</v>
      </c>
      <c r="W12" s="221">
        <v>1039</v>
      </c>
      <c r="X12" s="221">
        <v>1020</v>
      </c>
      <c r="Y12" s="221">
        <v>1003</v>
      </c>
      <c r="Z12" s="209">
        <v>986</v>
      </c>
      <c r="AA12" s="225">
        <v>969</v>
      </c>
      <c r="AB12" s="221">
        <v>953</v>
      </c>
      <c r="AC12" s="467">
        <v>938</v>
      </c>
      <c r="AD12" s="221">
        <v>923</v>
      </c>
      <c r="AE12" s="209">
        <v>909</v>
      </c>
      <c r="AF12" s="227">
        <v>895</v>
      </c>
      <c r="AG12" s="221">
        <v>881</v>
      </c>
      <c r="AH12" s="467">
        <v>868</v>
      </c>
      <c r="AI12" s="467">
        <v>855</v>
      </c>
      <c r="AJ12" s="209">
        <v>843</v>
      </c>
      <c r="AK12" s="476">
        <v>831</v>
      </c>
      <c r="AL12" s="471"/>
    </row>
    <row r="13" spans="1:38" ht="15" customHeight="1" x14ac:dyDescent="0.25">
      <c r="A13" s="228" t="s">
        <v>136</v>
      </c>
      <c r="B13" s="221">
        <v>1538</v>
      </c>
      <c r="C13" s="221">
        <v>1495</v>
      </c>
      <c r="D13" s="221">
        <v>1454</v>
      </c>
      <c r="E13" s="221">
        <v>1416</v>
      </c>
      <c r="F13" s="209">
        <v>1380</v>
      </c>
      <c r="G13" s="221">
        <v>1345</v>
      </c>
      <c r="H13" s="221">
        <v>1313</v>
      </c>
      <c r="I13" s="221">
        <v>1281</v>
      </c>
      <c r="J13" s="221">
        <v>1252</v>
      </c>
      <c r="K13" s="221">
        <v>1223</v>
      </c>
      <c r="L13" s="156">
        <v>1196</v>
      </c>
      <c r="M13" s="221">
        <v>1170</v>
      </c>
      <c r="N13" s="221">
        <v>1145</v>
      </c>
      <c r="O13" s="221">
        <v>1121</v>
      </c>
      <c r="P13" s="209">
        <v>1098</v>
      </c>
      <c r="Q13" s="225">
        <v>1076</v>
      </c>
      <c r="R13" s="221">
        <v>1055</v>
      </c>
      <c r="S13" s="467">
        <v>1035</v>
      </c>
      <c r="T13" s="467">
        <v>1015</v>
      </c>
      <c r="U13" s="209">
        <v>997</v>
      </c>
      <c r="V13" s="227">
        <v>978</v>
      </c>
      <c r="W13" s="221">
        <v>961</v>
      </c>
      <c r="X13" s="221">
        <v>944</v>
      </c>
      <c r="Y13" s="221">
        <v>928</v>
      </c>
      <c r="Z13" s="209">
        <v>912</v>
      </c>
      <c r="AA13" s="225">
        <v>897</v>
      </c>
      <c r="AB13" s="221">
        <v>882</v>
      </c>
      <c r="AC13" s="467">
        <v>868</v>
      </c>
      <c r="AD13" s="221">
        <v>854</v>
      </c>
      <c r="AE13" s="209">
        <v>841</v>
      </c>
      <c r="AF13" s="227">
        <v>828</v>
      </c>
      <c r="AG13" s="221">
        <v>815</v>
      </c>
      <c r="AH13" s="467">
        <v>803</v>
      </c>
      <c r="AI13" s="467">
        <v>791</v>
      </c>
      <c r="AJ13" s="209">
        <v>780</v>
      </c>
      <c r="AK13" s="476">
        <v>769</v>
      </c>
      <c r="AL13" s="472" t="s">
        <v>19</v>
      </c>
    </row>
    <row r="14" spans="1:38" ht="15" customHeight="1" x14ac:dyDescent="0.25">
      <c r="A14" s="228" t="s">
        <v>137</v>
      </c>
      <c r="B14" s="221">
        <v>1405</v>
      </c>
      <c r="C14" s="221">
        <v>1366</v>
      </c>
      <c r="D14" s="221">
        <v>1329</v>
      </c>
      <c r="E14" s="221">
        <v>1295</v>
      </c>
      <c r="F14" s="209">
        <v>1261</v>
      </c>
      <c r="G14" s="221">
        <v>1230</v>
      </c>
      <c r="H14" s="221">
        <v>1200</v>
      </c>
      <c r="I14" s="221">
        <v>1171</v>
      </c>
      <c r="J14" s="221">
        <v>1144</v>
      </c>
      <c r="K14" s="221">
        <v>1118</v>
      </c>
      <c r="L14" s="156">
        <v>1093</v>
      </c>
      <c r="M14" s="221">
        <v>1069</v>
      </c>
      <c r="N14" s="221">
        <v>1047</v>
      </c>
      <c r="O14" s="221">
        <v>1025</v>
      </c>
      <c r="P14" s="209">
        <v>1004</v>
      </c>
      <c r="Q14" s="225">
        <v>984</v>
      </c>
      <c r="R14" s="221">
        <v>965</v>
      </c>
      <c r="S14" s="467">
        <v>946</v>
      </c>
      <c r="T14" s="467">
        <v>928</v>
      </c>
      <c r="U14" s="209">
        <v>911</v>
      </c>
      <c r="V14" s="227">
        <v>894</v>
      </c>
      <c r="W14" s="221">
        <v>878</v>
      </c>
      <c r="X14" s="221">
        <v>863</v>
      </c>
      <c r="Y14" s="221">
        <v>848</v>
      </c>
      <c r="Z14" s="209">
        <v>834</v>
      </c>
      <c r="AA14" s="225">
        <v>820</v>
      </c>
      <c r="AB14" s="221">
        <v>806</v>
      </c>
      <c r="AC14" s="467">
        <v>793</v>
      </c>
      <c r="AD14" s="221">
        <v>781</v>
      </c>
      <c r="AE14" s="209">
        <v>769</v>
      </c>
      <c r="AF14" s="227">
        <v>757</v>
      </c>
      <c r="AG14" s="221">
        <v>745</v>
      </c>
      <c r="AH14" s="467">
        <v>734</v>
      </c>
      <c r="AI14" s="467">
        <v>723</v>
      </c>
      <c r="AJ14" s="209">
        <v>713</v>
      </c>
      <c r="AK14" s="476">
        <v>703</v>
      </c>
      <c r="AL14" s="470"/>
    </row>
    <row r="15" spans="1:38" ht="15" customHeight="1" x14ac:dyDescent="0.25">
      <c r="A15" s="228" t="s">
        <v>138</v>
      </c>
      <c r="B15" s="468">
        <f t="shared" ref="B15:L15" si="0">AVERAGE(B6:B14)</f>
        <v>1493.2222222222222</v>
      </c>
      <c r="C15" s="468">
        <f t="shared" si="0"/>
        <v>1451.6666666666667</v>
      </c>
      <c r="D15" s="468">
        <f t="shared" si="0"/>
        <v>1412.3333333333333</v>
      </c>
      <c r="E15" s="468">
        <f t="shared" si="0"/>
        <v>1375.2222222222222</v>
      </c>
      <c r="F15" s="230">
        <f t="shared" si="0"/>
        <v>1339.8888888888889</v>
      </c>
      <c r="G15" s="468">
        <f t="shared" si="0"/>
        <v>1306.6666666666667</v>
      </c>
      <c r="H15" s="468">
        <f t="shared" si="0"/>
        <v>1274.7777777777778</v>
      </c>
      <c r="I15" s="468">
        <f t="shared" si="0"/>
        <v>1244.2222222222222</v>
      </c>
      <c r="J15" s="468">
        <f t="shared" si="0"/>
        <v>1215.3333333333333</v>
      </c>
      <c r="K15" s="468">
        <f t="shared" si="0"/>
        <v>1187.7777777777778</v>
      </c>
      <c r="L15" s="229">
        <f t="shared" si="0"/>
        <v>1161.4444444444443</v>
      </c>
      <c r="M15" s="271">
        <f t="shared" ref="M15:U15" si="1">AVERAGE(M6:M14)</f>
        <v>1136.1111111111111</v>
      </c>
      <c r="N15" s="271">
        <f t="shared" si="1"/>
        <v>1111.8888888888889</v>
      </c>
      <c r="O15" s="271">
        <f t="shared" si="1"/>
        <v>1088.7777777777778</v>
      </c>
      <c r="P15" s="229">
        <f t="shared" si="1"/>
        <v>1066.4444444444443</v>
      </c>
      <c r="Q15" s="229">
        <f t="shared" si="1"/>
        <v>1045.2222222222222</v>
      </c>
      <c r="R15" s="271">
        <f t="shared" si="1"/>
        <v>1024.7777777777778</v>
      </c>
      <c r="S15" s="229">
        <f t="shared" si="1"/>
        <v>1005.1111111111111</v>
      </c>
      <c r="T15" s="229">
        <f t="shared" si="1"/>
        <v>986</v>
      </c>
      <c r="U15" s="229">
        <f t="shared" si="1"/>
        <v>967.77777777777783</v>
      </c>
      <c r="V15" s="229">
        <f t="shared" ref="V15:AK15" si="2">AVERAGE(V6:V14)</f>
        <v>950.22222222222217</v>
      </c>
      <c r="W15" s="271">
        <f t="shared" si="2"/>
        <v>933.22222222222217</v>
      </c>
      <c r="X15" s="271">
        <f t="shared" si="2"/>
        <v>916.77777777777783</v>
      </c>
      <c r="Y15" s="271">
        <f t="shared" si="2"/>
        <v>901.11111111111109</v>
      </c>
      <c r="Z15" s="229">
        <f t="shared" si="2"/>
        <v>885.77777777777783</v>
      </c>
      <c r="AA15" s="229">
        <f t="shared" si="2"/>
        <v>871</v>
      </c>
      <c r="AB15" s="271">
        <f t="shared" si="2"/>
        <v>856.55555555555554</v>
      </c>
      <c r="AC15" s="229">
        <f t="shared" si="2"/>
        <v>842.77777777777783</v>
      </c>
      <c r="AD15" s="271">
        <f t="shared" si="2"/>
        <v>829.44444444444446</v>
      </c>
      <c r="AE15" s="229">
        <f t="shared" si="2"/>
        <v>816.66666666666663</v>
      </c>
      <c r="AF15" s="229">
        <f t="shared" si="2"/>
        <v>804.11111111111109</v>
      </c>
      <c r="AG15" s="271">
        <f t="shared" si="2"/>
        <v>791.66666666666663</v>
      </c>
      <c r="AH15" s="229">
        <f t="shared" si="2"/>
        <v>779.88888888888891</v>
      </c>
      <c r="AI15" s="229">
        <f t="shared" si="2"/>
        <v>768.33333333333337</v>
      </c>
      <c r="AJ15" s="229">
        <f t="shared" si="2"/>
        <v>757.44444444444446</v>
      </c>
      <c r="AK15" s="478">
        <f t="shared" si="2"/>
        <v>746.66666666666663</v>
      </c>
      <c r="AL15" s="206">
        <f>MATCH('Rekenblad '!B14,'Algemeen en kostprijzen'!A5:A21,0)</f>
        <v>2</v>
      </c>
    </row>
    <row r="16" spans="1:38" ht="15" customHeight="1" x14ac:dyDescent="0.25">
      <c r="A16" s="224" t="s">
        <v>81</v>
      </c>
      <c r="B16" s="221">
        <v>1281</v>
      </c>
      <c r="C16" s="221">
        <v>1245</v>
      </c>
      <c r="D16" s="221">
        <v>1212</v>
      </c>
      <c r="E16" s="221">
        <v>1180</v>
      </c>
      <c r="F16" s="209">
        <v>1149</v>
      </c>
      <c r="G16" s="221">
        <v>1121</v>
      </c>
      <c r="H16" s="221">
        <v>1093</v>
      </c>
      <c r="I16" s="221">
        <v>1067</v>
      </c>
      <c r="J16" s="221">
        <v>1043</v>
      </c>
      <c r="K16" s="221">
        <v>1019</v>
      </c>
      <c r="L16" s="156">
        <v>996</v>
      </c>
      <c r="M16" s="221">
        <v>975</v>
      </c>
      <c r="N16" s="221">
        <v>954</v>
      </c>
      <c r="O16" s="221">
        <v>934</v>
      </c>
      <c r="P16" s="209">
        <v>915</v>
      </c>
      <c r="Q16" s="225">
        <v>897</v>
      </c>
      <c r="R16" s="221">
        <v>879</v>
      </c>
      <c r="S16" s="467">
        <v>862</v>
      </c>
      <c r="T16" s="467">
        <v>846</v>
      </c>
      <c r="U16" s="209">
        <v>830</v>
      </c>
      <c r="V16" s="227">
        <v>815</v>
      </c>
      <c r="W16" s="221">
        <v>801</v>
      </c>
      <c r="X16" s="221">
        <v>786</v>
      </c>
      <c r="Y16" s="221">
        <v>773</v>
      </c>
      <c r="Z16" s="209">
        <v>760</v>
      </c>
      <c r="AA16" s="225">
        <v>747</v>
      </c>
      <c r="AB16" s="221">
        <v>735</v>
      </c>
      <c r="AC16" s="467">
        <v>723</v>
      </c>
      <c r="AD16" s="221">
        <v>712</v>
      </c>
      <c r="AE16" s="209">
        <v>700</v>
      </c>
      <c r="AF16" s="227">
        <v>690</v>
      </c>
      <c r="AG16" s="221">
        <v>679</v>
      </c>
      <c r="AH16" s="467">
        <v>669</v>
      </c>
      <c r="AI16" s="467">
        <v>659</v>
      </c>
      <c r="AJ16" s="209">
        <v>650</v>
      </c>
      <c r="AK16" s="476">
        <v>640</v>
      </c>
      <c r="AL16" s="206">
        <f>MATCH('Rekenblad '!B108,'Algemeen en kostprijzen'!A5:AK5,0)</f>
        <v>12</v>
      </c>
    </row>
    <row r="17" spans="1:38" ht="15" customHeight="1" x14ac:dyDescent="0.25">
      <c r="A17" s="224" t="s">
        <v>202</v>
      </c>
      <c r="B17" s="221">
        <v>1392</v>
      </c>
      <c r="C17" s="221">
        <v>1353</v>
      </c>
      <c r="D17" s="221">
        <v>1317</v>
      </c>
      <c r="E17" s="221">
        <v>1282</v>
      </c>
      <c r="F17" s="209">
        <v>1249</v>
      </c>
      <c r="G17" s="221">
        <v>1218</v>
      </c>
      <c r="H17" s="221">
        <v>1188</v>
      </c>
      <c r="I17" s="221">
        <v>1160</v>
      </c>
      <c r="J17" s="221">
        <v>1133</v>
      </c>
      <c r="K17" s="221">
        <v>1107</v>
      </c>
      <c r="L17" s="156">
        <v>1083</v>
      </c>
      <c r="M17" s="221">
        <v>1059</v>
      </c>
      <c r="N17" s="221">
        <v>1037</v>
      </c>
      <c r="O17" s="221">
        <v>1015</v>
      </c>
      <c r="P17" s="209">
        <v>994</v>
      </c>
      <c r="Q17" s="225">
        <v>974</v>
      </c>
      <c r="R17" s="221">
        <v>955</v>
      </c>
      <c r="S17" s="467">
        <v>937</v>
      </c>
      <c r="T17" s="467">
        <v>919</v>
      </c>
      <c r="U17" s="209">
        <v>902</v>
      </c>
      <c r="V17" s="227">
        <v>886</v>
      </c>
      <c r="W17" s="221">
        <v>870</v>
      </c>
      <c r="X17" s="221">
        <v>855</v>
      </c>
      <c r="Y17" s="221">
        <v>840</v>
      </c>
      <c r="Z17" s="209">
        <v>826</v>
      </c>
      <c r="AA17" s="225">
        <v>812</v>
      </c>
      <c r="AB17" s="221">
        <v>799</v>
      </c>
      <c r="AC17" s="467">
        <v>786</v>
      </c>
      <c r="AD17" s="221">
        <v>773</v>
      </c>
      <c r="AE17" s="209">
        <v>761</v>
      </c>
      <c r="AF17" s="227">
        <v>750</v>
      </c>
      <c r="AG17" s="221">
        <v>738</v>
      </c>
      <c r="AH17" s="467">
        <v>727</v>
      </c>
      <c r="AI17" s="467">
        <v>716</v>
      </c>
      <c r="AJ17" s="209">
        <v>706</v>
      </c>
      <c r="AK17" s="476">
        <v>696</v>
      </c>
      <c r="AL17" s="470"/>
    </row>
    <row r="18" spans="1:38" ht="15" customHeight="1" x14ac:dyDescent="0.25">
      <c r="A18" s="224" t="s">
        <v>139</v>
      </c>
      <c r="B18" s="221">
        <v>1392</v>
      </c>
      <c r="C18" s="221">
        <v>1354</v>
      </c>
      <c r="D18" s="221">
        <v>1317</v>
      </c>
      <c r="E18" s="221">
        <v>1282</v>
      </c>
      <c r="F18" s="209">
        <v>1249</v>
      </c>
      <c r="G18" s="221">
        <v>1218</v>
      </c>
      <c r="H18" s="221">
        <v>1189</v>
      </c>
      <c r="I18" s="221">
        <v>1160</v>
      </c>
      <c r="J18" s="221">
        <v>1133</v>
      </c>
      <c r="K18" s="221">
        <v>1108</v>
      </c>
      <c r="L18" s="156">
        <v>1083</v>
      </c>
      <c r="M18" s="221">
        <v>1059</v>
      </c>
      <c r="N18" s="221">
        <v>1037</v>
      </c>
      <c r="O18" s="221">
        <v>1015</v>
      </c>
      <c r="P18" s="209">
        <v>994</v>
      </c>
      <c r="Q18" s="225">
        <v>975</v>
      </c>
      <c r="R18" s="221">
        <v>955</v>
      </c>
      <c r="S18" s="467">
        <v>937</v>
      </c>
      <c r="T18" s="467">
        <v>919</v>
      </c>
      <c r="U18" s="209">
        <v>902</v>
      </c>
      <c r="V18" s="227">
        <v>886</v>
      </c>
      <c r="W18" s="221">
        <v>870</v>
      </c>
      <c r="X18" s="221">
        <v>855</v>
      </c>
      <c r="Y18" s="221">
        <v>840</v>
      </c>
      <c r="Z18" s="209">
        <v>826</v>
      </c>
      <c r="AA18" s="225">
        <v>812</v>
      </c>
      <c r="AB18" s="221">
        <v>799</v>
      </c>
      <c r="AC18" s="467">
        <v>786</v>
      </c>
      <c r="AD18" s="221">
        <v>773</v>
      </c>
      <c r="AE18" s="209">
        <v>761</v>
      </c>
      <c r="AF18" s="227">
        <v>750</v>
      </c>
      <c r="AG18" s="221">
        <v>738</v>
      </c>
      <c r="AH18" s="467">
        <v>727</v>
      </c>
      <c r="AI18" s="467">
        <v>717</v>
      </c>
      <c r="AJ18" s="209">
        <v>706</v>
      </c>
      <c r="AK18" s="476">
        <v>696</v>
      </c>
      <c r="AL18" s="470"/>
    </row>
    <row r="19" spans="1:38" ht="15" customHeight="1" x14ac:dyDescent="0.25">
      <c r="A19" s="224" t="s">
        <v>140</v>
      </c>
      <c r="B19" s="221">
        <v>1085</v>
      </c>
      <c r="C19" s="221">
        <v>1055</v>
      </c>
      <c r="D19" s="221">
        <v>1026</v>
      </c>
      <c r="E19" s="221">
        <v>999</v>
      </c>
      <c r="F19" s="209">
        <v>974</v>
      </c>
      <c r="G19" s="221">
        <v>949</v>
      </c>
      <c r="H19" s="221">
        <v>926</v>
      </c>
      <c r="I19" s="221">
        <v>904</v>
      </c>
      <c r="J19" s="221">
        <v>883</v>
      </c>
      <c r="K19" s="221">
        <v>863</v>
      </c>
      <c r="L19" s="156">
        <v>844</v>
      </c>
      <c r="M19" s="221">
        <v>825</v>
      </c>
      <c r="N19" s="221">
        <v>808</v>
      </c>
      <c r="O19" s="221">
        <v>791</v>
      </c>
      <c r="P19" s="209">
        <v>775</v>
      </c>
      <c r="Q19" s="225">
        <v>759</v>
      </c>
      <c r="R19" s="221">
        <v>744</v>
      </c>
      <c r="S19" s="467">
        <v>730</v>
      </c>
      <c r="T19" s="467">
        <v>716</v>
      </c>
      <c r="U19" s="209">
        <v>703</v>
      </c>
      <c r="V19" s="227">
        <v>690</v>
      </c>
      <c r="W19" s="221">
        <v>678</v>
      </c>
      <c r="X19" s="221">
        <v>666</v>
      </c>
      <c r="Y19" s="221">
        <v>655</v>
      </c>
      <c r="Z19" s="209">
        <v>644</v>
      </c>
      <c r="AA19" s="225">
        <v>633</v>
      </c>
      <c r="AB19" s="221">
        <v>622</v>
      </c>
      <c r="AC19" s="467">
        <v>612</v>
      </c>
      <c r="AD19" s="221">
        <v>603</v>
      </c>
      <c r="AE19" s="209">
        <v>593</v>
      </c>
      <c r="AF19" s="227">
        <v>584</v>
      </c>
      <c r="AG19" s="221">
        <v>575</v>
      </c>
      <c r="AH19" s="467">
        <v>567</v>
      </c>
      <c r="AI19" s="467">
        <v>558</v>
      </c>
      <c r="AJ19" s="209">
        <v>550</v>
      </c>
      <c r="AK19" s="476">
        <v>542</v>
      </c>
      <c r="AL19" s="470"/>
    </row>
    <row r="20" spans="1:38" ht="15" customHeight="1" x14ac:dyDescent="0.25">
      <c r="A20" s="224" t="s">
        <v>141</v>
      </c>
      <c r="B20" s="221">
        <v>1183</v>
      </c>
      <c r="C20" s="221">
        <v>1150</v>
      </c>
      <c r="D20" s="221">
        <v>1119</v>
      </c>
      <c r="E20" s="221">
        <v>1090</v>
      </c>
      <c r="F20" s="209">
        <v>1062</v>
      </c>
      <c r="G20" s="221">
        <v>1035</v>
      </c>
      <c r="H20" s="221">
        <v>1010</v>
      </c>
      <c r="I20" s="221">
        <v>986</v>
      </c>
      <c r="J20" s="221">
        <v>963</v>
      </c>
      <c r="K20" s="221">
        <v>941</v>
      </c>
      <c r="L20" s="156">
        <v>920</v>
      </c>
      <c r="M20" s="221">
        <v>900</v>
      </c>
      <c r="N20" s="221">
        <v>881</v>
      </c>
      <c r="O20" s="221">
        <v>863</v>
      </c>
      <c r="P20" s="209">
        <v>845</v>
      </c>
      <c r="Q20" s="225">
        <v>828</v>
      </c>
      <c r="R20" s="221">
        <v>812</v>
      </c>
      <c r="S20" s="467">
        <v>796</v>
      </c>
      <c r="T20" s="467">
        <v>781</v>
      </c>
      <c r="U20" s="209">
        <v>767</v>
      </c>
      <c r="V20" s="227">
        <v>753</v>
      </c>
      <c r="W20" s="221">
        <v>739</v>
      </c>
      <c r="X20" s="221">
        <v>726</v>
      </c>
      <c r="Y20" s="221">
        <v>714</v>
      </c>
      <c r="Z20" s="209">
        <v>702</v>
      </c>
      <c r="AA20" s="225">
        <v>690</v>
      </c>
      <c r="AB20" s="221">
        <v>679</v>
      </c>
      <c r="AC20" s="467">
        <v>668</v>
      </c>
      <c r="AD20" s="221">
        <v>657</v>
      </c>
      <c r="AE20" s="209">
        <v>647</v>
      </c>
      <c r="AF20" s="227">
        <v>637</v>
      </c>
      <c r="AG20" s="221">
        <v>627</v>
      </c>
      <c r="AH20" s="467">
        <v>618</v>
      </c>
      <c r="AI20" s="467">
        <v>609</v>
      </c>
      <c r="AJ20" s="209">
        <v>600</v>
      </c>
      <c r="AK20" s="476">
        <v>592</v>
      </c>
      <c r="AL20" s="470"/>
    </row>
    <row r="21" spans="1:38" ht="15" customHeight="1" x14ac:dyDescent="0.25">
      <c r="A21" s="224" t="s">
        <v>142</v>
      </c>
      <c r="B21" s="468">
        <f t="shared" ref="B21:L21" si="3">AVERAGE(B16:B20)</f>
        <v>1266.5999999999999</v>
      </c>
      <c r="C21" s="468">
        <f t="shared" si="3"/>
        <v>1231.4000000000001</v>
      </c>
      <c r="D21" s="468">
        <f t="shared" si="3"/>
        <v>1198.2</v>
      </c>
      <c r="E21" s="468">
        <f t="shared" si="3"/>
        <v>1166.5999999999999</v>
      </c>
      <c r="F21" s="230">
        <f t="shared" si="3"/>
        <v>1136.5999999999999</v>
      </c>
      <c r="G21" s="468">
        <f t="shared" si="3"/>
        <v>1108.2</v>
      </c>
      <c r="H21" s="468">
        <f t="shared" si="3"/>
        <v>1081.2</v>
      </c>
      <c r="I21" s="468">
        <f t="shared" si="3"/>
        <v>1055.4000000000001</v>
      </c>
      <c r="J21" s="468">
        <f t="shared" si="3"/>
        <v>1031</v>
      </c>
      <c r="K21" s="230">
        <f t="shared" si="3"/>
        <v>1007.6</v>
      </c>
      <c r="L21" s="271">
        <f t="shared" si="3"/>
        <v>985.2</v>
      </c>
      <c r="M21" s="468">
        <f t="shared" ref="M21:U21" si="4">AVERAGE(M16:M20)</f>
        <v>963.6</v>
      </c>
      <c r="N21" s="468">
        <f t="shared" si="4"/>
        <v>943.4</v>
      </c>
      <c r="O21" s="468">
        <f t="shared" si="4"/>
        <v>923.6</v>
      </c>
      <c r="P21" s="230">
        <f t="shared" si="4"/>
        <v>904.6</v>
      </c>
      <c r="Q21" s="271">
        <f t="shared" si="4"/>
        <v>886.6</v>
      </c>
      <c r="R21" s="468">
        <f t="shared" si="4"/>
        <v>869</v>
      </c>
      <c r="S21" s="469">
        <f t="shared" si="4"/>
        <v>852.4</v>
      </c>
      <c r="T21" s="469">
        <f t="shared" si="4"/>
        <v>836.2</v>
      </c>
      <c r="U21" s="230">
        <f t="shared" si="4"/>
        <v>820.8</v>
      </c>
      <c r="V21" s="271">
        <f t="shared" ref="V21:AK21" si="5">AVERAGE(V16:V20)</f>
        <v>806</v>
      </c>
      <c r="W21" s="468">
        <f t="shared" si="5"/>
        <v>791.6</v>
      </c>
      <c r="X21" s="468">
        <f t="shared" si="5"/>
        <v>777.6</v>
      </c>
      <c r="Y21" s="468">
        <f t="shared" si="5"/>
        <v>764.4</v>
      </c>
      <c r="Z21" s="230">
        <f t="shared" si="5"/>
        <v>751.6</v>
      </c>
      <c r="AA21" s="271">
        <f t="shared" si="5"/>
        <v>738.8</v>
      </c>
      <c r="AB21" s="468">
        <f t="shared" si="5"/>
        <v>726.8</v>
      </c>
      <c r="AC21" s="469">
        <f t="shared" si="5"/>
        <v>715</v>
      </c>
      <c r="AD21" s="468">
        <f t="shared" si="5"/>
        <v>703.6</v>
      </c>
      <c r="AE21" s="230">
        <f t="shared" si="5"/>
        <v>692.4</v>
      </c>
      <c r="AF21" s="271">
        <f t="shared" si="5"/>
        <v>682.2</v>
      </c>
      <c r="AG21" s="468">
        <f t="shared" si="5"/>
        <v>671.4</v>
      </c>
      <c r="AH21" s="469">
        <f t="shared" si="5"/>
        <v>661.6</v>
      </c>
      <c r="AI21" s="469">
        <f t="shared" si="5"/>
        <v>651.79999999999995</v>
      </c>
      <c r="AJ21" s="230">
        <f t="shared" si="5"/>
        <v>642.4</v>
      </c>
      <c r="AK21" s="478">
        <f t="shared" si="5"/>
        <v>633.20000000000005</v>
      </c>
      <c r="AL21" s="471"/>
    </row>
    <row r="22" spans="1:38" ht="15" customHeight="1" x14ac:dyDescent="0.25">
      <c r="A22" s="231"/>
      <c r="B22" s="209"/>
      <c r="C22" s="232"/>
      <c r="D22" s="232"/>
      <c r="E22" s="232"/>
      <c r="F22" s="232"/>
      <c r="G22" s="232"/>
      <c r="H22" s="232"/>
      <c r="I22" s="232"/>
      <c r="J22" s="57"/>
      <c r="K22" s="43"/>
      <c r="L22" s="43"/>
    </row>
    <row r="23" spans="1:38" ht="15" customHeight="1" x14ac:dyDescent="0.25">
      <c r="A23" s="57"/>
      <c r="B23" s="83"/>
      <c r="C23" s="43"/>
      <c r="D23" s="43"/>
      <c r="E23" s="43"/>
      <c r="F23" s="43"/>
      <c r="G23" s="43"/>
      <c r="H23" s="43"/>
      <c r="I23" s="43"/>
      <c r="J23" s="43"/>
      <c r="K23" s="43"/>
      <c r="L23" s="43"/>
    </row>
    <row r="24" spans="1:38" ht="15" customHeight="1" x14ac:dyDescent="0.25">
      <c r="A24" s="560" t="s">
        <v>232</v>
      </c>
      <c r="B24" s="560"/>
      <c r="C24" s="560"/>
      <c r="D24" s="560"/>
      <c r="E24" s="560"/>
      <c r="F24" s="560"/>
      <c r="G24" s="560"/>
      <c r="H24" s="560"/>
      <c r="I24" s="560"/>
      <c r="J24" s="560"/>
      <c r="K24" s="43"/>
      <c r="L24" s="43"/>
    </row>
    <row r="25" spans="1:38" ht="5.25" customHeight="1" x14ac:dyDescent="0.25">
      <c r="A25" s="180"/>
      <c r="B25" s="180"/>
      <c r="C25" s="180"/>
      <c r="D25" s="180"/>
      <c r="E25" s="180"/>
      <c r="F25" s="180"/>
      <c r="G25" s="180"/>
      <c r="H25" s="57"/>
      <c r="I25" s="180"/>
      <c r="J25" s="180"/>
      <c r="K25" s="180"/>
      <c r="L25" s="43"/>
    </row>
    <row r="26" spans="1:38" ht="15.75" thickBot="1" x14ac:dyDescent="0.3">
      <c r="A26" s="234" t="s">
        <v>166</v>
      </c>
      <c r="B26" s="247" t="s">
        <v>223</v>
      </c>
      <c r="C26" s="247" t="s">
        <v>215</v>
      </c>
      <c r="D26" s="57"/>
      <c r="E26" s="43"/>
      <c r="F26" s="43"/>
      <c r="G26" s="43"/>
      <c r="L26" s="43"/>
    </row>
    <row r="27" spans="1:38" s="180" customFormat="1" ht="15" customHeight="1" x14ac:dyDescent="0.25">
      <c r="A27" s="235" t="s">
        <v>3</v>
      </c>
      <c r="B27" s="236">
        <v>0</v>
      </c>
      <c r="C27" s="238">
        <v>0</v>
      </c>
      <c r="D27" s="195"/>
      <c r="E27" s="195"/>
      <c r="F27" s="43"/>
      <c r="G27" s="43"/>
      <c r="H27"/>
      <c r="I27"/>
      <c r="J27"/>
      <c r="K27"/>
    </row>
    <row r="28" spans="1:38" x14ac:dyDescent="0.25">
      <c r="A28" s="235" t="s">
        <v>20</v>
      </c>
      <c r="B28" s="350">
        <v>35</v>
      </c>
      <c r="C28" s="238">
        <f>B28/60</f>
        <v>0.58333333333333337</v>
      </c>
      <c r="D28" s="43"/>
      <c r="E28" s="43"/>
      <c r="F28" s="43"/>
      <c r="G28" s="43"/>
    </row>
    <row r="29" spans="1:38" x14ac:dyDescent="0.25">
      <c r="A29" s="240" t="s">
        <v>13</v>
      </c>
      <c r="B29" s="350">
        <v>125</v>
      </c>
      <c r="C29" s="238">
        <f>B29/60</f>
        <v>2.0833333333333335</v>
      </c>
      <c r="D29" s="249"/>
      <c r="E29" s="249"/>
      <c r="F29" s="249"/>
      <c r="G29" s="249"/>
      <c r="H29" s="204"/>
      <c r="I29" s="204"/>
    </row>
    <row r="30" spans="1:38" x14ac:dyDescent="0.25">
      <c r="A30" s="240" t="s">
        <v>230</v>
      </c>
      <c r="B30" s="350">
        <v>115</v>
      </c>
      <c r="C30" s="238">
        <f>B30/60</f>
        <v>1.9166666666666667</v>
      </c>
      <c r="D30" s="249"/>
      <c r="E30" s="249"/>
      <c r="F30" s="249"/>
      <c r="G30" s="249"/>
      <c r="H30" s="204"/>
      <c r="I30" s="204"/>
    </row>
    <row r="31" spans="1:38" x14ac:dyDescent="0.25">
      <c r="A31" s="240" t="s">
        <v>14</v>
      </c>
      <c r="B31" s="351">
        <v>80</v>
      </c>
      <c r="C31" s="238">
        <f>B31/60</f>
        <v>1.3333333333333333</v>
      </c>
      <c r="D31" s="249"/>
      <c r="E31" s="249"/>
      <c r="F31" s="249"/>
      <c r="G31" s="249"/>
      <c r="H31" s="204"/>
      <c r="I31" s="204"/>
    </row>
    <row r="32" spans="1:38" x14ac:dyDescent="0.25">
      <c r="A32" s="240" t="s">
        <v>15</v>
      </c>
      <c r="B32" s="351">
        <v>90</v>
      </c>
      <c r="C32" s="238">
        <f>B32/60</f>
        <v>1.5</v>
      </c>
      <c r="D32" s="249"/>
      <c r="E32" s="249"/>
      <c r="F32" s="249"/>
      <c r="G32" s="249"/>
      <c r="H32" s="204"/>
      <c r="I32" s="204"/>
    </row>
    <row r="33" spans="1:10" x14ac:dyDescent="0.25">
      <c r="A33" s="195"/>
      <c r="B33" s="195"/>
      <c r="C33" s="57"/>
      <c r="D33" s="249"/>
      <c r="E33" s="249"/>
      <c r="F33" s="249"/>
      <c r="G33" s="249"/>
      <c r="H33" s="204"/>
      <c r="I33" s="204"/>
    </row>
    <row r="34" spans="1:10" ht="15.75" thickBot="1" x14ac:dyDescent="0.3">
      <c r="A34" s="234" t="s">
        <v>30</v>
      </c>
      <c r="B34" s="250" t="s">
        <v>223</v>
      </c>
      <c r="C34" s="247" t="s">
        <v>215</v>
      </c>
      <c r="D34" s="341"/>
      <c r="E34" s="249"/>
      <c r="F34" s="342"/>
      <c r="G34" s="249"/>
      <c r="H34" s="204"/>
      <c r="I34" s="204"/>
    </row>
    <row r="35" spans="1:10" x14ac:dyDescent="0.25">
      <c r="A35" s="240" t="s">
        <v>3</v>
      </c>
      <c r="B35" s="355">
        <v>0</v>
      </c>
      <c r="C35" s="245">
        <v>0</v>
      </c>
      <c r="D35" s="249"/>
      <c r="E35" s="249"/>
      <c r="F35" s="249"/>
      <c r="G35" s="249"/>
      <c r="H35" s="204"/>
      <c r="I35" s="204"/>
    </row>
    <row r="36" spans="1:10" x14ac:dyDescent="0.25">
      <c r="A36" s="240" t="s">
        <v>83</v>
      </c>
      <c r="B36" s="346">
        <v>70</v>
      </c>
      <c r="C36" s="239">
        <f>B36/60</f>
        <v>1.1666666666666667</v>
      </c>
      <c r="D36" s="249"/>
      <c r="E36" s="249"/>
      <c r="F36" s="249"/>
      <c r="G36" s="249"/>
      <c r="H36" s="204"/>
      <c r="I36" s="204"/>
    </row>
    <row r="37" spans="1:10" x14ac:dyDescent="0.25">
      <c r="A37" s="240" t="s">
        <v>84</v>
      </c>
      <c r="B37" s="350">
        <v>80</v>
      </c>
      <c r="C37" s="239">
        <f>B37/60</f>
        <v>1.3333333333333333</v>
      </c>
      <c r="D37" s="249"/>
      <c r="E37" s="249"/>
      <c r="F37" s="249"/>
      <c r="G37" s="249"/>
      <c r="H37" s="204"/>
      <c r="I37" s="204"/>
    </row>
    <row r="38" spans="1:10" x14ac:dyDescent="0.25">
      <c r="A38" s="240" t="s">
        <v>16</v>
      </c>
      <c r="B38" s="351">
        <v>65</v>
      </c>
      <c r="C38" s="239">
        <f>B38/60</f>
        <v>1.0833333333333333</v>
      </c>
      <c r="D38" s="249"/>
      <c r="E38" s="249"/>
      <c r="F38" s="249"/>
      <c r="G38" s="249"/>
      <c r="H38" s="204"/>
      <c r="I38" s="204"/>
    </row>
    <row r="39" spans="1:10" x14ac:dyDescent="0.25">
      <c r="A39" s="240" t="s">
        <v>21</v>
      </c>
      <c r="B39" s="351">
        <v>80</v>
      </c>
      <c r="C39" s="239">
        <f>B39/60</f>
        <v>1.3333333333333333</v>
      </c>
      <c r="D39" s="249"/>
      <c r="E39" s="249"/>
      <c r="F39" s="249"/>
      <c r="G39" s="249"/>
      <c r="H39" s="204"/>
      <c r="I39" s="204"/>
    </row>
    <row r="40" spans="1:10" x14ac:dyDescent="0.25">
      <c r="A40" s="195"/>
      <c r="B40" s="54"/>
      <c r="C40" s="57"/>
      <c r="D40" s="249"/>
      <c r="E40" s="249"/>
      <c r="F40" s="249"/>
      <c r="G40" s="249"/>
      <c r="H40" s="204"/>
      <c r="I40" s="204"/>
      <c r="J40" s="208"/>
    </row>
    <row r="41" spans="1:10" ht="15.75" thickBot="1" x14ac:dyDescent="0.3">
      <c r="A41" s="234" t="s">
        <v>167</v>
      </c>
      <c r="B41" s="247" t="s">
        <v>223</v>
      </c>
      <c r="C41" s="247" t="s">
        <v>215</v>
      </c>
      <c r="E41" s="480" t="s">
        <v>224</v>
      </c>
      <c r="F41" s="480"/>
      <c r="G41" s="480"/>
      <c r="H41" s="480"/>
      <c r="I41" s="481"/>
      <c r="J41" s="208"/>
    </row>
    <row r="42" spans="1:10" x14ac:dyDescent="0.25">
      <c r="A42" s="235" t="s">
        <v>3</v>
      </c>
      <c r="B42" s="246">
        <v>0</v>
      </c>
      <c r="C42" s="239">
        <v>0</v>
      </c>
      <c r="E42" s="482" t="s">
        <v>239</v>
      </c>
      <c r="F42" s="483" t="e">
        <f>'Rekenblad '!H40/'Rekenblad '!J108</f>
        <v>#DIV/0!</v>
      </c>
      <c r="G42" s="484" t="s">
        <v>113</v>
      </c>
      <c r="H42" s="483" t="e">
        <f>'Rekenblad '!H40/B81</f>
        <v>#DIV/0!</v>
      </c>
      <c r="I42" s="479" t="s">
        <v>178</v>
      </c>
      <c r="J42" s="208"/>
    </row>
    <row r="43" spans="1:10" x14ac:dyDescent="0.25">
      <c r="A43" s="240" t="s">
        <v>312</v>
      </c>
      <c r="B43" s="353">
        <v>175</v>
      </c>
      <c r="C43" s="239">
        <f>B43/60</f>
        <v>2.9166666666666665</v>
      </c>
      <c r="E43" s="482" t="s">
        <v>240</v>
      </c>
      <c r="F43" s="483" t="e">
        <f>'Rekenblad '!H40*'Rekenblad '!N108</f>
        <v>#DIV/0!</v>
      </c>
      <c r="G43" s="484" t="s">
        <v>319</v>
      </c>
      <c r="H43" s="483" t="e">
        <f>B99</f>
        <v>#DIV/0!</v>
      </c>
      <c r="I43" s="479" t="s">
        <v>179</v>
      </c>
      <c r="J43" s="208"/>
    </row>
    <row r="44" spans="1:10" x14ac:dyDescent="0.25">
      <c r="A44" s="240" t="s">
        <v>314</v>
      </c>
      <c r="B44" s="348">
        <v>210</v>
      </c>
      <c r="C44" s="239">
        <f>B44/60</f>
        <v>3.5</v>
      </c>
      <c r="E44" s="482" t="s">
        <v>240</v>
      </c>
      <c r="F44" s="483" t="e">
        <f>F43</f>
        <v>#DIV/0!</v>
      </c>
      <c r="G44" s="484" t="s">
        <v>319</v>
      </c>
      <c r="H44" s="483" t="e">
        <f>B99</f>
        <v>#DIV/0!</v>
      </c>
      <c r="I44" s="479" t="s">
        <v>179</v>
      </c>
      <c r="J44" s="208"/>
    </row>
    <row r="45" spans="1:10" x14ac:dyDescent="0.25">
      <c r="A45" s="240" t="s">
        <v>313</v>
      </c>
      <c r="B45" s="352">
        <v>135</v>
      </c>
      <c r="C45" s="239">
        <f>B45/60</f>
        <v>2.25</v>
      </c>
      <c r="E45" s="482" t="s">
        <v>240</v>
      </c>
      <c r="F45" s="483" t="e">
        <f>F43</f>
        <v>#DIV/0!</v>
      </c>
      <c r="G45" s="484" t="s">
        <v>319</v>
      </c>
      <c r="H45" s="483" t="e">
        <f>B99</f>
        <v>#DIV/0!</v>
      </c>
      <c r="I45" s="479" t="s">
        <v>179</v>
      </c>
      <c r="J45" s="208"/>
    </row>
    <row r="46" spans="1:10" x14ac:dyDescent="0.25">
      <c r="A46" s="248" t="s">
        <v>203</v>
      </c>
      <c r="B46" s="353">
        <v>70</v>
      </c>
      <c r="C46" s="239">
        <f>B46/60</f>
        <v>1.1666666666666667</v>
      </c>
      <c r="E46" s="482" t="s">
        <v>239</v>
      </c>
      <c r="F46" s="483" t="e">
        <f>'Rekenblad '!H40/'Rekenblad '!J108</f>
        <v>#DIV/0!</v>
      </c>
      <c r="G46" s="484" t="s">
        <v>172</v>
      </c>
      <c r="H46" s="483" t="e">
        <f>B98</f>
        <v>#DIV/0!</v>
      </c>
      <c r="I46" s="479" t="s">
        <v>178</v>
      </c>
      <c r="J46" s="208"/>
    </row>
    <row r="47" spans="1:10" x14ac:dyDescent="0.25">
      <c r="A47" s="43"/>
      <c r="B47" s="43"/>
      <c r="C47" s="43"/>
      <c r="E47" s="341"/>
      <c r="F47" s="341"/>
      <c r="G47" s="341"/>
      <c r="H47" s="341"/>
      <c r="I47" s="343"/>
      <c r="J47" s="208"/>
    </row>
    <row r="48" spans="1:10" ht="15.75" thickBot="1" x14ac:dyDescent="0.3">
      <c r="A48" s="234" t="s">
        <v>317</v>
      </c>
      <c r="B48" s="247" t="s">
        <v>223</v>
      </c>
      <c r="C48" s="247" t="s">
        <v>215</v>
      </c>
      <c r="D48" s="249"/>
      <c r="E48" s="249"/>
      <c r="F48" s="249"/>
      <c r="G48" s="249"/>
      <c r="H48" s="204"/>
      <c r="I48" s="204"/>
      <c r="J48" s="208"/>
    </row>
    <row r="49" spans="1:12" x14ac:dyDescent="0.25">
      <c r="A49" s="244" t="s">
        <v>3</v>
      </c>
      <c r="B49" s="237">
        <v>0</v>
      </c>
      <c r="C49" s="239">
        <v>0</v>
      </c>
      <c r="D49" s="249"/>
      <c r="E49" s="249"/>
      <c r="F49" s="249"/>
      <c r="G49" s="249"/>
      <c r="H49" s="204"/>
      <c r="I49" s="204"/>
      <c r="J49" s="208"/>
    </row>
    <row r="50" spans="1:12" x14ac:dyDescent="0.25">
      <c r="A50" s="240" t="s">
        <v>96</v>
      </c>
      <c r="B50" s="352">
        <v>55</v>
      </c>
      <c r="C50" s="239">
        <f>B50/60</f>
        <v>0.91666666666666663</v>
      </c>
      <c r="D50" s="43"/>
      <c r="E50" s="43"/>
      <c r="F50" s="43"/>
      <c r="G50" s="43"/>
    </row>
    <row r="51" spans="1:12" x14ac:dyDescent="0.25">
      <c r="A51" s="43"/>
      <c r="B51" s="354"/>
      <c r="C51" s="43"/>
      <c r="D51" s="43"/>
      <c r="E51" s="43"/>
      <c r="F51" s="43"/>
      <c r="G51" s="43"/>
      <c r="H51" s="43"/>
      <c r="I51" s="43"/>
      <c r="J51" s="43"/>
      <c r="K51" s="43"/>
    </row>
    <row r="52" spans="1:12" ht="15.75" thickBot="1" x14ac:dyDescent="0.3">
      <c r="A52" s="234" t="s">
        <v>231</v>
      </c>
      <c r="B52" s="247" t="s">
        <v>223</v>
      </c>
      <c r="C52" s="247" t="s">
        <v>215</v>
      </c>
      <c r="D52" s="327" t="s">
        <v>114</v>
      </c>
      <c r="E52" s="43"/>
      <c r="F52" s="43"/>
      <c r="G52" s="43"/>
      <c r="H52" s="43"/>
      <c r="I52" s="43"/>
      <c r="J52" s="43"/>
      <c r="K52" s="43"/>
    </row>
    <row r="53" spans="1:12" x14ac:dyDescent="0.25">
      <c r="A53" s="243" t="s">
        <v>34</v>
      </c>
      <c r="B53" s="347">
        <v>70</v>
      </c>
      <c r="C53" s="239">
        <f>B53/60</f>
        <v>1.1666666666666667</v>
      </c>
      <c r="D53" s="328">
        <v>10</v>
      </c>
      <c r="E53" s="43"/>
      <c r="F53" s="43"/>
      <c r="G53" s="43"/>
      <c r="H53" s="43"/>
      <c r="I53" s="43"/>
      <c r="J53" s="43"/>
      <c r="K53" s="43"/>
      <c r="L53" s="43"/>
    </row>
    <row r="54" spans="1:12" x14ac:dyDescent="0.25">
      <c r="A54" s="240" t="s">
        <v>307</v>
      </c>
      <c r="B54" s="353">
        <v>70</v>
      </c>
      <c r="C54" s="239">
        <f>B54/60</f>
        <v>1.1666666666666667</v>
      </c>
      <c r="D54" s="328">
        <v>24</v>
      </c>
      <c r="E54" s="43"/>
      <c r="F54" s="43"/>
      <c r="G54" s="43"/>
      <c r="H54" s="43"/>
      <c r="I54" s="43"/>
      <c r="J54" s="43"/>
      <c r="K54" s="43"/>
      <c r="L54" s="43"/>
    </row>
    <row r="55" spans="1:12" x14ac:dyDescent="0.25">
      <c r="A55" s="240" t="s">
        <v>308</v>
      </c>
      <c r="B55" s="353">
        <v>70</v>
      </c>
      <c r="C55" s="239">
        <f>B55/60</f>
        <v>1.1666666666666667</v>
      </c>
      <c r="D55" s="328">
        <v>30</v>
      </c>
      <c r="E55" s="43"/>
      <c r="F55" s="43"/>
      <c r="G55" s="43"/>
      <c r="H55" s="43"/>
      <c r="I55" s="43"/>
      <c r="J55" s="43"/>
      <c r="K55" s="43"/>
      <c r="L55" s="43"/>
    </row>
    <row r="56" spans="1:12" x14ac:dyDescent="0.25">
      <c r="A56" s="240" t="s">
        <v>309</v>
      </c>
      <c r="B56" s="353">
        <v>70</v>
      </c>
      <c r="C56" s="239">
        <f>B56/60</f>
        <v>1.1666666666666667</v>
      </c>
      <c r="D56" s="328">
        <v>22</v>
      </c>
      <c r="E56" s="43"/>
      <c r="F56" s="43"/>
      <c r="G56" s="43"/>
      <c r="H56" s="43"/>
      <c r="I56" s="43"/>
      <c r="J56" s="43"/>
      <c r="K56" s="43"/>
      <c r="L56" s="43"/>
    </row>
    <row r="57" spans="1:12" x14ac:dyDescent="0.25">
      <c r="A57" s="43"/>
      <c r="B57" s="57"/>
      <c r="C57" s="43"/>
      <c r="D57" s="43"/>
      <c r="E57" s="43"/>
      <c r="F57" s="43"/>
      <c r="G57" s="43"/>
      <c r="H57" s="43"/>
      <c r="I57" s="43"/>
      <c r="J57" s="43"/>
      <c r="K57" s="43"/>
      <c r="L57" s="43"/>
    </row>
    <row r="58" spans="1:12" x14ac:dyDescent="0.25">
      <c r="A58" s="43"/>
      <c r="B58" s="57"/>
      <c r="C58" s="43"/>
      <c r="D58" s="43"/>
      <c r="E58" s="43"/>
      <c r="F58" s="43"/>
      <c r="G58" s="43"/>
      <c r="H58" s="43"/>
      <c r="I58" s="43"/>
      <c r="J58" s="43"/>
      <c r="K58" s="43"/>
      <c r="L58" s="43"/>
    </row>
    <row r="59" spans="1:12" ht="18" thickBot="1" x14ac:dyDescent="0.3">
      <c r="A59" s="234" t="s">
        <v>318</v>
      </c>
      <c r="B59" s="247" t="s">
        <v>223</v>
      </c>
      <c r="C59" s="250" t="s">
        <v>215</v>
      </c>
      <c r="D59" s="256" t="s">
        <v>238</v>
      </c>
      <c r="E59" s="43"/>
      <c r="F59" s="444" t="s">
        <v>281</v>
      </c>
      <c r="G59" s="190" t="s">
        <v>275</v>
      </c>
      <c r="H59" s="252" t="s">
        <v>276</v>
      </c>
      <c r="I59" s="43"/>
      <c r="J59" s="43"/>
      <c r="K59" s="43"/>
      <c r="L59" s="43"/>
    </row>
    <row r="60" spans="1:12" x14ac:dyDescent="0.25">
      <c r="A60" s="240" t="s">
        <v>233</v>
      </c>
      <c r="B60" s="349">
        <v>55</v>
      </c>
      <c r="C60" s="212">
        <f t="shared" ref="C60:C65" si="6">B60/60</f>
        <v>0.91666666666666663</v>
      </c>
      <c r="D60" s="242">
        <v>30</v>
      </c>
      <c r="E60" s="43"/>
      <c r="F60" s="63" t="s">
        <v>277</v>
      </c>
      <c r="G60" s="445" t="s">
        <v>282</v>
      </c>
      <c r="H60" s="446" t="s">
        <v>283</v>
      </c>
      <c r="I60" s="43"/>
      <c r="J60" s="43"/>
      <c r="K60" s="43"/>
      <c r="L60" s="43"/>
    </row>
    <row r="61" spans="1:12" x14ac:dyDescent="0.25">
      <c r="A61" s="240" t="s">
        <v>234</v>
      </c>
      <c r="B61" s="356">
        <v>70</v>
      </c>
      <c r="C61" s="212">
        <f t="shared" si="6"/>
        <v>1.1666666666666667</v>
      </c>
      <c r="D61" s="242">
        <v>30</v>
      </c>
      <c r="E61" s="43"/>
      <c r="F61" s="63" t="s">
        <v>278</v>
      </c>
      <c r="G61" s="445" t="s">
        <v>279</v>
      </c>
      <c r="H61" s="446" t="s">
        <v>280</v>
      </c>
      <c r="I61" s="43"/>
      <c r="J61" s="43"/>
      <c r="K61" s="43"/>
      <c r="L61" s="43"/>
    </row>
    <row r="62" spans="1:12" x14ac:dyDescent="0.25">
      <c r="A62" s="240" t="s">
        <v>235</v>
      </c>
      <c r="B62" s="357">
        <v>70</v>
      </c>
      <c r="C62" s="212">
        <f t="shared" si="6"/>
        <v>1.1666666666666667</v>
      </c>
      <c r="D62" s="242">
        <v>60</v>
      </c>
      <c r="E62" s="43"/>
      <c r="F62" s="63" t="s">
        <v>36</v>
      </c>
      <c r="G62" s="445" t="s">
        <v>284</v>
      </c>
      <c r="H62" s="446" t="s">
        <v>280</v>
      </c>
      <c r="I62" s="43"/>
      <c r="J62" s="43"/>
      <c r="K62" s="43"/>
      <c r="L62" s="43"/>
    </row>
    <row r="63" spans="1:12" x14ac:dyDescent="0.25">
      <c r="A63" s="240" t="s">
        <v>236</v>
      </c>
      <c r="B63" s="349">
        <v>70</v>
      </c>
      <c r="C63" s="212">
        <f t="shared" si="6"/>
        <v>1.1666666666666667</v>
      </c>
      <c r="D63" s="242">
        <v>40</v>
      </c>
      <c r="E63" s="43"/>
      <c r="I63" s="43"/>
      <c r="J63" s="43"/>
      <c r="K63" s="43"/>
      <c r="L63" s="43"/>
    </row>
    <row r="64" spans="1:12" x14ac:dyDescent="0.25">
      <c r="A64" s="240" t="s">
        <v>237</v>
      </c>
      <c r="B64" s="356">
        <v>70</v>
      </c>
      <c r="C64" s="212">
        <f t="shared" si="6"/>
        <v>1.1666666666666667</v>
      </c>
      <c r="D64" s="242">
        <v>80</v>
      </c>
      <c r="E64" s="43"/>
      <c r="F64" s="43"/>
      <c r="G64" s="43"/>
      <c r="H64" s="43"/>
      <c r="I64" s="43"/>
      <c r="J64" s="43"/>
      <c r="K64" s="43"/>
      <c r="L64" s="43"/>
    </row>
    <row r="65" spans="1:12" x14ac:dyDescent="0.25">
      <c r="A65" s="240" t="s">
        <v>311</v>
      </c>
      <c r="B65" s="357">
        <v>80</v>
      </c>
      <c r="C65" s="212">
        <f t="shared" si="6"/>
        <v>1.3333333333333333</v>
      </c>
      <c r="D65" s="314">
        <v>90</v>
      </c>
      <c r="E65" s="43"/>
      <c r="F65" s="43"/>
      <c r="G65" s="43"/>
      <c r="H65" s="43"/>
      <c r="I65" s="43"/>
      <c r="J65" s="43"/>
      <c r="K65" s="43"/>
      <c r="L65" s="43"/>
    </row>
    <row r="66" spans="1:12" x14ac:dyDescent="0.25">
      <c r="A66" s="43"/>
      <c r="B66" s="43"/>
      <c r="C66" s="195"/>
      <c r="D66" s="43"/>
      <c r="E66" s="43"/>
      <c r="F66" s="43"/>
      <c r="G66" s="43"/>
      <c r="H66" s="43"/>
      <c r="I66" s="43"/>
      <c r="J66" s="43"/>
      <c r="K66" s="43"/>
      <c r="L66" s="43"/>
    </row>
    <row r="67" spans="1:12" ht="15.75" thickBot="1" x14ac:dyDescent="0.3">
      <c r="A67" s="234" t="s">
        <v>25</v>
      </c>
      <c r="B67" s="247" t="s">
        <v>223</v>
      </c>
      <c r="C67" s="247" t="s">
        <v>215</v>
      </c>
      <c r="D67" s="57"/>
      <c r="E67" s="43"/>
      <c r="F67" s="43"/>
      <c r="G67" s="43"/>
      <c r="H67" s="43"/>
      <c r="I67" s="43"/>
      <c r="J67" s="43"/>
      <c r="K67" s="43"/>
      <c r="L67" s="43"/>
    </row>
    <row r="68" spans="1:12" x14ac:dyDescent="0.25">
      <c r="A68" s="244"/>
      <c r="B68" s="347">
        <v>35</v>
      </c>
      <c r="C68" s="245">
        <f>B68/60</f>
        <v>0.58333333333333337</v>
      </c>
      <c r="D68" s="57"/>
      <c r="E68" s="43"/>
      <c r="F68" s="43"/>
      <c r="G68" s="43"/>
      <c r="H68" s="43"/>
      <c r="I68" s="43"/>
      <c r="J68" s="43"/>
      <c r="K68" s="43"/>
      <c r="L68" s="43"/>
    </row>
    <row r="69" spans="1:12" x14ac:dyDescent="0.25">
      <c r="A69" s="43"/>
      <c r="B69" s="354"/>
      <c r="C69" s="43"/>
      <c r="D69" s="43"/>
      <c r="E69" s="43"/>
      <c r="F69" s="43"/>
      <c r="G69" s="43"/>
      <c r="H69" s="43"/>
      <c r="I69" s="43"/>
      <c r="J69" s="43"/>
      <c r="K69" s="43"/>
      <c r="L69" s="43"/>
    </row>
    <row r="70" spans="1:12" ht="15.75" thickBot="1" x14ac:dyDescent="0.3">
      <c r="A70" s="214" t="s">
        <v>171</v>
      </c>
      <c r="B70" s="252" t="s">
        <v>11</v>
      </c>
      <c r="C70" s="43"/>
      <c r="D70" s="43"/>
      <c r="E70" s="43"/>
      <c r="F70" s="43"/>
      <c r="G70" s="43"/>
      <c r="H70" s="43"/>
      <c r="I70" s="43"/>
      <c r="J70" s="43"/>
      <c r="K70" s="43"/>
      <c r="L70" s="43"/>
    </row>
    <row r="71" spans="1:12" x14ac:dyDescent="0.25">
      <c r="A71" s="253" t="s">
        <v>35</v>
      </c>
      <c r="B71" s="254">
        <v>2.46</v>
      </c>
      <c r="C71" s="43"/>
      <c r="D71" s="43"/>
      <c r="E71" s="43"/>
      <c r="F71" s="43"/>
      <c r="G71" s="43"/>
      <c r="H71" s="43"/>
      <c r="I71" s="43"/>
      <c r="J71" s="43"/>
      <c r="K71" s="43"/>
      <c r="L71" s="43"/>
    </row>
    <row r="72" spans="1:12" x14ac:dyDescent="0.25">
      <c r="A72" s="63" t="s">
        <v>7</v>
      </c>
      <c r="B72" s="55">
        <v>2.25</v>
      </c>
      <c r="C72" s="43"/>
      <c r="D72" s="43"/>
      <c r="E72" s="43"/>
      <c r="F72" s="43"/>
      <c r="G72" s="43"/>
      <c r="H72" s="43"/>
      <c r="I72" s="43"/>
      <c r="J72" s="43"/>
      <c r="K72" s="43"/>
      <c r="L72" s="43"/>
    </row>
    <row r="73" spans="1:12" x14ac:dyDescent="0.25">
      <c r="A73" s="63" t="s">
        <v>4</v>
      </c>
      <c r="B73" s="55">
        <v>2.5</v>
      </c>
      <c r="C73" s="43"/>
      <c r="D73" s="43"/>
      <c r="E73" s="43"/>
      <c r="F73" s="43"/>
      <c r="G73" s="43"/>
      <c r="H73" s="43"/>
      <c r="I73" s="43"/>
      <c r="J73" s="43"/>
      <c r="K73" s="43"/>
      <c r="L73" s="43"/>
    </row>
    <row r="74" spans="1:12" x14ac:dyDescent="0.25">
      <c r="A74" s="63" t="s">
        <v>5</v>
      </c>
      <c r="B74" s="55">
        <v>2.75</v>
      </c>
      <c r="C74" s="43"/>
      <c r="D74" s="43"/>
      <c r="E74" s="43"/>
      <c r="F74" s="43"/>
      <c r="G74" s="43"/>
      <c r="H74" s="43"/>
      <c r="I74" s="43"/>
      <c r="J74" s="43"/>
      <c r="K74" s="43"/>
      <c r="L74" s="43"/>
    </row>
    <row r="75" spans="1:12" x14ac:dyDescent="0.25">
      <c r="A75" s="63" t="s">
        <v>6</v>
      </c>
      <c r="B75" s="55">
        <v>3.03</v>
      </c>
      <c r="C75" s="57"/>
      <c r="D75" s="43"/>
      <c r="E75" s="43"/>
      <c r="F75" s="43"/>
      <c r="G75" s="43"/>
      <c r="H75" s="43"/>
      <c r="I75" s="43"/>
      <c r="J75" s="43"/>
      <c r="K75" s="43"/>
      <c r="L75" s="43"/>
    </row>
    <row r="76" spans="1:12" x14ac:dyDescent="0.25">
      <c r="A76" s="57"/>
      <c r="B76" s="314"/>
      <c r="E76" s="326"/>
      <c r="F76" s="43"/>
      <c r="G76" s="43"/>
      <c r="H76" s="43"/>
      <c r="I76" s="43"/>
      <c r="J76" s="43"/>
      <c r="K76" s="43"/>
      <c r="L76" s="43"/>
    </row>
    <row r="77" spans="1:12" ht="15.75" thickBot="1" x14ac:dyDescent="0.3">
      <c r="A77" s="176" t="s">
        <v>168</v>
      </c>
      <c r="B77" s="338" t="s">
        <v>148</v>
      </c>
      <c r="C77" s="43"/>
      <c r="D77" s="57"/>
      <c r="E77" s="43"/>
      <c r="F77" s="43"/>
      <c r="G77" s="43"/>
      <c r="H77" s="43"/>
      <c r="L77" s="43"/>
    </row>
    <row r="78" spans="1:12" x14ac:dyDescent="0.25">
      <c r="A78" s="189" t="s">
        <v>242</v>
      </c>
      <c r="B78" s="490">
        <f>B80*(1-0.5)</f>
        <v>0.38500000000000001</v>
      </c>
      <c r="C78" s="43"/>
      <c r="D78" s="43"/>
      <c r="E78" s="43"/>
      <c r="F78" s="43"/>
      <c r="G78" s="43"/>
      <c r="H78" s="43"/>
      <c r="L78" s="43"/>
    </row>
    <row r="79" spans="1:12" x14ac:dyDescent="0.25">
      <c r="A79" s="189" t="s">
        <v>243</v>
      </c>
      <c r="B79" s="491">
        <f>B80*(1-0.35)</f>
        <v>0.50050000000000006</v>
      </c>
      <c r="C79" s="43"/>
      <c r="D79" s="43"/>
      <c r="E79" s="43"/>
      <c r="F79" s="43"/>
      <c r="G79" s="43"/>
      <c r="H79" s="43"/>
    </row>
    <row r="80" spans="1:12" x14ac:dyDescent="0.25">
      <c r="A80" s="189" t="s">
        <v>268</v>
      </c>
      <c r="B80" s="134">
        <f>VLOOKUP('Rekenblad '!B14,Houtprijzen!A6:K21,11,FALSE)</f>
        <v>0.77</v>
      </c>
      <c r="C80" s="43"/>
      <c r="D80" s="43"/>
      <c r="E80" s="43"/>
      <c r="F80" s="43"/>
      <c r="G80" s="43"/>
      <c r="H80" s="43"/>
    </row>
    <row r="81" spans="1:12" x14ac:dyDescent="0.25">
      <c r="A81" s="189" t="s">
        <v>270</v>
      </c>
      <c r="B81" s="492">
        <f>B80*(1+0.05)</f>
        <v>0.80850000000000011</v>
      </c>
      <c r="C81" s="43"/>
      <c r="D81" s="43"/>
      <c r="E81" s="43"/>
      <c r="F81" s="43"/>
      <c r="G81" s="43"/>
      <c r="H81" s="43"/>
    </row>
    <row r="82" spans="1:12" x14ac:dyDescent="0.25">
      <c r="A82" s="43"/>
      <c r="B82" s="43"/>
      <c r="C82" s="43"/>
      <c r="D82" s="43"/>
      <c r="E82" s="43"/>
      <c r="F82" s="43"/>
      <c r="G82" s="43"/>
      <c r="H82" s="43"/>
      <c r="I82" s="43"/>
      <c r="J82" s="43"/>
      <c r="K82" s="43"/>
    </row>
    <row r="83" spans="1:12" ht="15.75" thickBot="1" x14ac:dyDescent="0.3">
      <c r="A83" s="234" t="s">
        <v>324</v>
      </c>
      <c r="B83" s="251" t="s">
        <v>127</v>
      </c>
      <c r="C83" s="43"/>
      <c r="D83" s="43"/>
      <c r="E83" s="43"/>
      <c r="F83" s="43"/>
      <c r="G83" s="43"/>
      <c r="H83" s="43"/>
      <c r="I83" s="43"/>
      <c r="J83" s="43"/>
      <c r="K83" s="43"/>
    </row>
    <row r="84" spans="1:12" x14ac:dyDescent="0.25">
      <c r="A84" s="257" t="s">
        <v>1</v>
      </c>
      <c r="B84" s="358">
        <v>0</v>
      </c>
      <c r="C84" s="43"/>
      <c r="D84" s="258"/>
      <c r="E84" s="43"/>
      <c r="F84" s="43"/>
      <c r="G84" s="43"/>
      <c r="H84" s="43"/>
      <c r="I84" s="43"/>
      <c r="J84" s="43"/>
      <c r="K84" s="43"/>
      <c r="L84" s="43"/>
    </row>
    <row r="85" spans="1:12" x14ac:dyDescent="0.25">
      <c r="A85" s="259" t="s">
        <v>2</v>
      </c>
      <c r="B85" s="359">
        <v>1.5</v>
      </c>
      <c r="C85" s="223"/>
      <c r="D85" s="43"/>
      <c r="E85" s="43"/>
      <c r="F85" s="43"/>
      <c r="G85" s="43"/>
      <c r="H85" s="43"/>
      <c r="I85" s="43"/>
      <c r="J85" s="43"/>
      <c r="K85" s="43"/>
      <c r="L85" s="43"/>
    </row>
    <row r="86" spans="1:12" x14ac:dyDescent="0.25">
      <c r="A86" s="260"/>
      <c r="B86" s="195"/>
      <c r="C86" s="43"/>
      <c r="D86" s="43"/>
      <c r="E86" s="43"/>
      <c r="F86" s="43"/>
      <c r="G86" s="43"/>
      <c r="H86" s="182"/>
      <c r="I86" s="43"/>
      <c r="J86" s="43"/>
      <c r="K86" s="43"/>
      <c r="L86" s="43"/>
    </row>
    <row r="87" spans="1:12" x14ac:dyDescent="0.25">
      <c r="A87" s="57"/>
      <c r="B87" s="83"/>
      <c r="C87" s="43"/>
      <c r="D87" s="43"/>
      <c r="E87" s="43"/>
      <c r="F87" s="43"/>
      <c r="G87" s="43"/>
      <c r="H87" s="43"/>
      <c r="I87" s="43"/>
      <c r="J87" s="43"/>
      <c r="K87" s="43"/>
      <c r="L87" s="43"/>
    </row>
    <row r="88" spans="1:12" x14ac:dyDescent="0.25">
      <c r="A88" s="557" t="s">
        <v>176</v>
      </c>
      <c r="B88" s="557"/>
      <c r="C88" s="557"/>
      <c r="D88" s="557"/>
      <c r="E88" s="557"/>
      <c r="F88" s="557"/>
      <c r="G88" s="557"/>
      <c r="H88" s="557"/>
      <c r="I88" s="557"/>
      <c r="J88" s="557"/>
      <c r="K88" s="43"/>
      <c r="L88" s="43"/>
    </row>
    <row r="89" spans="1:12" ht="5.25" customHeight="1" x14ac:dyDescent="0.25">
      <c r="A89" s="182"/>
      <c r="B89" s="182"/>
      <c r="C89" s="182"/>
      <c r="D89" s="182"/>
      <c r="E89" s="182"/>
      <c r="F89" s="182"/>
      <c r="G89" s="182"/>
      <c r="H89" s="43"/>
      <c r="I89" s="182"/>
      <c r="J89" s="182"/>
      <c r="K89" s="182"/>
      <c r="L89" s="43"/>
    </row>
    <row r="90" spans="1:12" ht="15.75" thickBot="1" x14ac:dyDescent="0.3">
      <c r="A90" s="329" t="s">
        <v>115</v>
      </c>
      <c r="B90" s="330" t="s">
        <v>112</v>
      </c>
      <c r="C90" s="330" t="s">
        <v>107</v>
      </c>
      <c r="D90" s="330" t="s">
        <v>26</v>
      </c>
      <c r="E90" s="330" t="s">
        <v>103</v>
      </c>
      <c r="F90" s="330" t="s">
        <v>108</v>
      </c>
      <c r="G90" s="331" t="s">
        <v>109</v>
      </c>
      <c r="H90" s="43"/>
      <c r="I90" s="43"/>
      <c r="J90" s="43"/>
      <c r="K90" s="43"/>
      <c r="L90" s="43"/>
    </row>
    <row r="91" spans="1:12" s="182" customFormat="1" ht="15" customHeight="1" x14ac:dyDescent="0.25">
      <c r="A91" s="332" t="str">
        <f>'Rekenblad '!D39</f>
        <v>Werkhout</v>
      </c>
      <c r="B91" s="333" t="e">
        <f>'Rekenblad '!D48</f>
        <v>#DIV/0!</v>
      </c>
      <c r="C91" s="333">
        <f>'Rekenblad '!N59</f>
        <v>0</v>
      </c>
      <c r="D91" s="333" t="e">
        <f>'Rekenblad '!N69</f>
        <v>#DIV/0!</v>
      </c>
      <c r="E91" s="333" t="e">
        <f>'Rekenblad '!D131</f>
        <v>#DIV/0!</v>
      </c>
      <c r="F91" s="241" t="e">
        <f>'Rekenblad '!D138</f>
        <v>#DIV/0!</v>
      </c>
      <c r="G91" s="334" t="e">
        <f>'Rekenblad '!D141</f>
        <v>#DIV/0!</v>
      </c>
      <c r="H91" s="43"/>
      <c r="I91" s="43"/>
      <c r="J91" s="43"/>
      <c r="K91" s="43"/>
    </row>
    <row r="92" spans="1:12" ht="15" customHeight="1" x14ac:dyDescent="0.25">
      <c r="A92" s="332" t="str">
        <f>'Rekenblad '!F39</f>
        <v>Industriehout</v>
      </c>
      <c r="B92" s="335" t="e">
        <f>'Rekenblad '!F48</f>
        <v>#DIV/0!</v>
      </c>
      <c r="C92" s="336">
        <f>'Rekenblad '!N80</f>
        <v>0</v>
      </c>
      <c r="D92" s="335" t="e">
        <f>'Rekenblad '!N90</f>
        <v>#DIV/0!</v>
      </c>
      <c r="E92" s="335" t="e">
        <f>'Rekenblad '!F131</f>
        <v>#DIV/0!</v>
      </c>
      <c r="F92" s="236" t="e">
        <f>'Rekenblad '!F138</f>
        <v>#DIV/0!</v>
      </c>
      <c r="G92" s="337" t="e">
        <f>'Rekenblad '!F141</f>
        <v>#DIV/0!</v>
      </c>
      <c r="H92" s="43"/>
      <c r="I92" s="43"/>
      <c r="J92" s="43"/>
      <c r="K92" s="43"/>
      <c r="L92" s="43"/>
    </row>
    <row r="93" spans="1:12" x14ac:dyDescent="0.25">
      <c r="A93" s="332" t="str">
        <f>'Rekenblad '!H39</f>
        <v>Tak- en tophout</v>
      </c>
      <c r="B93" s="335" t="e">
        <f>'Rekenblad '!H48</f>
        <v>#DIV/0!</v>
      </c>
      <c r="C93" s="336">
        <f>'Rekenblad '!N103</f>
        <v>0</v>
      </c>
      <c r="D93" s="335" t="e">
        <f>'Rekenblad '!N118</f>
        <v>#DIV/0!</v>
      </c>
      <c r="E93" s="335" t="e">
        <f>'Rekenblad '!H131</f>
        <v>#DIV/0!</v>
      </c>
      <c r="F93" s="236" t="e">
        <f>'Rekenblad '!H138</f>
        <v>#DIV/0!</v>
      </c>
      <c r="G93" s="337" t="e">
        <f>'Rekenblad '!H141</f>
        <v>#DIV/0!</v>
      </c>
      <c r="H93" s="43"/>
      <c r="I93" s="43"/>
      <c r="J93" s="43"/>
      <c r="K93" s="43"/>
      <c r="L93" s="43"/>
    </row>
    <row r="94" spans="1:12" x14ac:dyDescent="0.25">
      <c r="A94" s="57"/>
      <c r="B94" s="184"/>
      <c r="C94" s="43"/>
      <c r="D94" s="43"/>
      <c r="E94" s="43"/>
      <c r="F94" s="43"/>
      <c r="G94" s="43"/>
      <c r="H94" s="43"/>
      <c r="I94" s="43"/>
      <c r="J94" s="43"/>
      <c r="K94" s="43"/>
      <c r="L94" s="43"/>
    </row>
    <row r="95" spans="1:12" ht="15.75" thickBot="1" x14ac:dyDescent="0.3">
      <c r="A95" s="261" t="s">
        <v>181</v>
      </c>
      <c r="B95" s="190" t="s">
        <v>180</v>
      </c>
      <c r="C95" s="191" t="s">
        <v>116</v>
      </c>
      <c r="D95" s="43"/>
      <c r="E95" s="43"/>
      <c r="F95" s="43"/>
      <c r="G95" s="43"/>
      <c r="H95" s="43"/>
      <c r="I95" s="43"/>
      <c r="J95" s="43"/>
      <c r="K95" s="43"/>
      <c r="L95" s="43"/>
    </row>
    <row r="96" spans="1:12" x14ac:dyDescent="0.25">
      <c r="A96" s="262" t="s">
        <v>28</v>
      </c>
      <c r="B96" s="263" t="e">
        <f>'Rekenblad '!D40</f>
        <v>#DIV/0!</v>
      </c>
      <c r="C96" s="264" t="s">
        <v>38</v>
      </c>
      <c r="D96" s="43"/>
      <c r="E96" s="43"/>
      <c r="F96" s="43"/>
      <c r="G96" s="43"/>
      <c r="H96" s="43"/>
      <c r="I96" s="43"/>
      <c r="J96" s="43"/>
      <c r="K96" s="43"/>
      <c r="L96" s="43"/>
    </row>
    <row r="97" spans="1:12" x14ac:dyDescent="0.25">
      <c r="A97" s="265" t="s">
        <v>27</v>
      </c>
      <c r="B97" s="266" t="e">
        <f>'Rekenblad '!F40</f>
        <v>#DIV/0!</v>
      </c>
      <c r="C97" s="267" t="s">
        <v>38</v>
      </c>
      <c r="D97" s="43"/>
      <c r="E97" s="43"/>
      <c r="F97" s="43"/>
      <c r="G97" s="43"/>
      <c r="H97" s="43"/>
      <c r="I97" s="43"/>
      <c r="J97" s="43"/>
      <c r="K97" s="43"/>
      <c r="L97" s="43"/>
    </row>
    <row r="98" spans="1:12" x14ac:dyDescent="0.25">
      <c r="A98" s="268" t="s">
        <v>172</v>
      </c>
      <c r="B98" s="266" t="e">
        <f>'Rekenblad '!H40/'Rekenblad '!J108</f>
        <v>#DIV/0!</v>
      </c>
      <c r="C98" s="267" t="s">
        <v>178</v>
      </c>
      <c r="D98" s="43"/>
      <c r="E98" s="43"/>
      <c r="F98" s="43"/>
      <c r="G98" s="43"/>
      <c r="H98" s="43"/>
      <c r="I98" s="43"/>
      <c r="J98" s="43"/>
      <c r="K98" s="43"/>
      <c r="L98" s="43"/>
    </row>
    <row r="99" spans="1:12" x14ac:dyDescent="0.25">
      <c r="A99" s="268" t="s">
        <v>319</v>
      </c>
      <c r="B99" s="266" t="e">
        <f>'Rekenblad '!H40*('Rekenblad '!D108/1000)</f>
        <v>#DIV/0!</v>
      </c>
      <c r="C99" s="267" t="s">
        <v>179</v>
      </c>
      <c r="D99" s="43"/>
      <c r="E99" s="43"/>
      <c r="F99" s="43"/>
      <c r="G99" s="43"/>
      <c r="H99" s="43"/>
      <c r="I99" s="43"/>
      <c r="J99" s="43"/>
      <c r="K99" s="43"/>
      <c r="L99" s="43"/>
    </row>
    <row r="100" spans="1:12" x14ac:dyDescent="0.25">
      <c r="A100" s="57"/>
      <c r="B100" s="269"/>
      <c r="C100" s="270"/>
      <c r="D100" s="43"/>
      <c r="E100" s="43"/>
      <c r="F100" s="43"/>
      <c r="G100" s="43"/>
      <c r="H100" s="182"/>
      <c r="I100" s="43"/>
      <c r="J100" s="43"/>
      <c r="K100" s="43"/>
      <c r="L100" s="43"/>
    </row>
    <row r="101" spans="1:12" x14ac:dyDescent="0.25">
      <c r="A101" s="54"/>
      <c r="B101" s="43"/>
      <c r="C101" s="43"/>
      <c r="D101" s="43"/>
      <c r="E101" s="43"/>
      <c r="F101" s="43"/>
      <c r="G101" s="43"/>
      <c r="H101" s="211"/>
      <c r="I101" s="43"/>
      <c r="J101" s="43"/>
      <c r="K101" s="43"/>
      <c r="L101" s="43"/>
    </row>
    <row r="102" spans="1:12" x14ac:dyDescent="0.25">
      <c r="A102" s="557" t="s">
        <v>55</v>
      </c>
      <c r="B102" s="557"/>
      <c r="C102" s="557"/>
      <c r="D102" s="557"/>
      <c r="E102" s="557"/>
      <c r="F102" s="557"/>
      <c r="G102" s="557"/>
      <c r="H102" s="557"/>
      <c r="I102" s="557"/>
      <c r="J102" s="557"/>
      <c r="K102" s="43"/>
      <c r="L102" s="43"/>
    </row>
    <row r="103" spans="1:12" ht="5.25" customHeight="1" x14ac:dyDescent="0.25">
      <c r="A103" s="182"/>
      <c r="B103" s="182"/>
      <c r="C103" s="182"/>
      <c r="D103" s="182"/>
      <c r="E103" s="182"/>
      <c r="F103" s="182"/>
      <c r="G103" s="182"/>
      <c r="H103" s="210"/>
      <c r="I103" s="182"/>
      <c r="J103" s="182"/>
      <c r="K103" s="182"/>
      <c r="L103" s="43"/>
    </row>
    <row r="104" spans="1:12" x14ac:dyDescent="0.25">
      <c r="A104" s="43"/>
      <c r="B104" s="558" t="s">
        <v>58</v>
      </c>
      <c r="C104" s="558"/>
      <c r="D104" s="558"/>
      <c r="E104" s="558"/>
      <c r="F104" s="558"/>
      <c r="G104" s="558"/>
      <c r="H104" s="558"/>
      <c r="I104" s="558"/>
      <c r="J104" s="558"/>
      <c r="K104" s="43"/>
      <c r="L104" s="43"/>
    </row>
    <row r="105" spans="1:12" s="182" customFormat="1" ht="15" customHeight="1" x14ac:dyDescent="0.25">
      <c r="A105" s="43"/>
      <c r="B105" s="561" t="s">
        <v>59</v>
      </c>
      <c r="C105" s="561"/>
      <c r="D105" s="561"/>
      <c r="E105" s="561"/>
      <c r="F105" s="561"/>
      <c r="G105" s="561"/>
      <c r="H105" s="561"/>
      <c r="I105" s="561"/>
      <c r="J105" s="561"/>
      <c r="K105" s="43"/>
    </row>
    <row r="106" spans="1:12" x14ac:dyDescent="0.25">
      <c r="A106" s="43"/>
      <c r="B106" s="561" t="s">
        <v>60</v>
      </c>
      <c r="C106" s="561"/>
      <c r="D106" s="561"/>
      <c r="E106" s="561"/>
      <c r="F106" s="561"/>
      <c r="G106" s="561"/>
      <c r="H106" s="561"/>
      <c r="I106" s="561"/>
      <c r="J106" s="561"/>
      <c r="K106" s="43"/>
      <c r="L106" s="43"/>
    </row>
    <row r="107" spans="1:12" ht="15" customHeight="1" x14ac:dyDescent="0.25">
      <c r="A107" s="57"/>
      <c r="B107" s="561"/>
      <c r="C107" s="561"/>
      <c r="D107" s="561"/>
      <c r="E107" s="561"/>
      <c r="F107" s="561"/>
      <c r="G107" s="561"/>
      <c r="H107" s="561"/>
      <c r="I107" s="561"/>
      <c r="J107" s="561"/>
      <c r="K107" s="43"/>
      <c r="L107" s="43"/>
    </row>
    <row r="108" spans="1:12" ht="15" customHeight="1" x14ac:dyDescent="0.25">
      <c r="A108" s="43"/>
      <c r="B108" s="561" t="s">
        <v>61</v>
      </c>
      <c r="C108" s="561"/>
      <c r="D108" s="561"/>
      <c r="E108" s="561"/>
      <c r="F108" s="561"/>
      <c r="G108" s="561"/>
      <c r="H108" s="561"/>
      <c r="I108" s="561"/>
      <c r="J108" s="561"/>
      <c r="K108" s="43"/>
      <c r="L108" s="43"/>
    </row>
    <row r="109" spans="1:12" x14ac:dyDescent="0.25">
      <c r="A109" s="43"/>
      <c r="B109" s="561" t="s">
        <v>192</v>
      </c>
      <c r="C109" s="561"/>
      <c r="D109" s="561"/>
      <c r="E109" s="561"/>
      <c r="F109" s="561"/>
      <c r="G109" s="561"/>
      <c r="H109" s="561"/>
      <c r="I109" s="561"/>
      <c r="J109" s="561"/>
      <c r="K109" s="43"/>
      <c r="L109" s="43"/>
    </row>
    <row r="110" spans="1:12" ht="15" customHeight="1" x14ac:dyDescent="0.25">
      <c r="A110" s="43"/>
      <c r="B110" s="558" t="s">
        <v>126</v>
      </c>
      <c r="C110" s="558"/>
      <c r="D110" s="558"/>
      <c r="E110" s="558"/>
      <c r="F110" s="558"/>
      <c r="G110" s="558"/>
      <c r="H110" s="558"/>
      <c r="I110" s="558"/>
      <c r="J110" s="558"/>
      <c r="K110" s="43"/>
      <c r="L110" s="43"/>
    </row>
    <row r="111" spans="1:12" ht="15.6" customHeight="1" x14ac:dyDescent="0.25">
      <c r="A111" s="43"/>
      <c r="B111" s="43"/>
      <c r="C111" s="43"/>
      <c r="D111" s="43"/>
      <c r="E111" s="43"/>
      <c r="F111" s="43"/>
      <c r="G111" s="43"/>
      <c r="H111" s="43"/>
      <c r="I111" s="43"/>
      <c r="J111" s="43"/>
      <c r="K111" s="43"/>
      <c r="L111" s="43"/>
    </row>
    <row r="112" spans="1:12" x14ac:dyDescent="0.25">
      <c r="A112" s="43"/>
      <c r="B112" s="43"/>
      <c r="C112" s="43"/>
      <c r="D112" s="43"/>
      <c r="E112" s="43"/>
      <c r="F112" s="43"/>
      <c r="G112" s="43"/>
      <c r="H112" s="43"/>
      <c r="I112" s="43"/>
      <c r="J112" s="43"/>
      <c r="K112" s="43"/>
      <c r="L112" s="43"/>
    </row>
    <row r="113" spans="1:12" x14ac:dyDescent="0.25">
      <c r="A113" s="557" t="s">
        <v>300</v>
      </c>
      <c r="B113" s="557"/>
      <c r="C113" s="557"/>
      <c r="D113" s="557"/>
      <c r="E113" s="557"/>
      <c r="F113" s="557"/>
      <c r="G113" s="557"/>
      <c r="H113" s="557"/>
      <c r="I113" s="557"/>
      <c r="J113" s="557"/>
      <c r="K113" s="182"/>
      <c r="L113" s="43"/>
    </row>
    <row r="114" spans="1:12" ht="5.25" customHeight="1" x14ac:dyDescent="0.25">
      <c r="L114" s="43"/>
    </row>
    <row r="115" spans="1:12" ht="18.75" x14ac:dyDescent="0.3">
      <c r="B115" s="508" t="s">
        <v>310</v>
      </c>
      <c r="L115" s="43"/>
    </row>
    <row r="116" spans="1:12" x14ac:dyDescent="0.25">
      <c r="A116" s="43"/>
      <c r="B116" s="43"/>
      <c r="C116" s="43"/>
      <c r="D116" s="43"/>
      <c r="E116" s="43"/>
      <c r="F116" s="43"/>
      <c r="G116" s="43"/>
      <c r="H116" s="43"/>
      <c r="I116" s="43"/>
      <c r="J116" s="43"/>
      <c r="K116" s="43"/>
      <c r="L116" s="43"/>
    </row>
    <row r="117" spans="1:12" x14ac:dyDescent="0.25">
      <c r="A117" s="43"/>
      <c r="B117" s="43"/>
      <c r="C117" s="43"/>
      <c r="D117" s="43"/>
      <c r="E117" s="43"/>
      <c r="F117" s="43"/>
      <c r="G117" s="43"/>
      <c r="H117" s="43"/>
      <c r="I117" s="43"/>
      <c r="J117" s="43"/>
      <c r="K117" s="43"/>
      <c r="L117" s="43"/>
    </row>
    <row r="118" spans="1:12" x14ac:dyDescent="0.25">
      <c r="A118" s="43"/>
      <c r="B118" s="43"/>
      <c r="C118" s="43"/>
      <c r="D118" s="43"/>
      <c r="E118" s="43"/>
      <c r="F118" s="43"/>
      <c r="G118" s="43"/>
      <c r="H118" s="43"/>
      <c r="I118" s="43"/>
      <c r="J118" s="43"/>
      <c r="K118" s="43"/>
      <c r="L118" s="43"/>
    </row>
    <row r="119" spans="1:12" x14ac:dyDescent="0.25">
      <c r="A119" s="43"/>
      <c r="B119" s="43"/>
      <c r="C119" s="43"/>
      <c r="D119" s="43"/>
      <c r="E119" s="43"/>
      <c r="F119" s="43"/>
      <c r="G119" s="43"/>
      <c r="H119" s="43"/>
      <c r="I119" s="43"/>
      <c r="J119" s="43"/>
      <c r="K119" s="43"/>
      <c r="L119" s="43"/>
    </row>
    <row r="120" spans="1:12" x14ac:dyDescent="0.25">
      <c r="A120" s="43"/>
      <c r="B120" s="43"/>
      <c r="C120" s="43"/>
      <c r="D120" s="43"/>
      <c r="E120" s="43"/>
      <c r="F120" s="43"/>
      <c r="G120" s="43"/>
      <c r="H120" s="43"/>
      <c r="I120" s="43"/>
      <c r="J120" s="43"/>
      <c r="K120" s="43"/>
      <c r="L120" s="43"/>
    </row>
    <row r="121" spans="1:12" x14ac:dyDescent="0.25">
      <c r="A121" s="43"/>
      <c r="B121" s="43"/>
      <c r="C121" s="43"/>
      <c r="D121" s="43"/>
      <c r="E121" s="43"/>
      <c r="F121" s="43"/>
      <c r="G121" s="43"/>
      <c r="H121" s="43"/>
      <c r="I121" s="43"/>
      <c r="J121" s="43"/>
      <c r="K121" s="43"/>
      <c r="L121" s="43"/>
    </row>
    <row r="122" spans="1:12" x14ac:dyDescent="0.25">
      <c r="A122" s="43"/>
      <c r="B122" s="43"/>
      <c r="C122" s="43"/>
      <c r="D122" s="43"/>
      <c r="E122" s="43"/>
      <c r="F122" s="43"/>
      <c r="G122" s="43"/>
      <c r="H122" s="43"/>
      <c r="I122" s="43"/>
      <c r="J122" s="43"/>
      <c r="K122" s="43"/>
      <c r="L122" s="43"/>
    </row>
    <row r="123" spans="1:12" x14ac:dyDescent="0.25">
      <c r="A123" s="43"/>
      <c r="B123" s="43"/>
      <c r="C123" s="43"/>
      <c r="D123" s="43"/>
      <c r="E123" s="43"/>
      <c r="F123" s="43"/>
      <c r="G123" s="43"/>
      <c r="H123" s="43"/>
      <c r="I123" s="43"/>
      <c r="J123" s="43"/>
      <c r="K123" s="43"/>
      <c r="L123" s="43"/>
    </row>
    <row r="124" spans="1:12" x14ac:dyDescent="0.25">
      <c r="L124" s="43"/>
    </row>
    <row r="125" spans="1:12" x14ac:dyDescent="0.25">
      <c r="L125" s="43"/>
    </row>
  </sheetData>
  <sheetProtection password="E0F0" sheet="1" objects="1" scenarios="1"/>
  <mergeCells count="11">
    <mergeCell ref="A113:J113"/>
    <mergeCell ref="B110:J110"/>
    <mergeCell ref="A3:J3"/>
    <mergeCell ref="A24:J24"/>
    <mergeCell ref="B106:J107"/>
    <mergeCell ref="B108:J108"/>
    <mergeCell ref="B109:J109"/>
    <mergeCell ref="A88:J88"/>
    <mergeCell ref="A102:J102"/>
    <mergeCell ref="B105:J105"/>
    <mergeCell ref="B104:J10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FFC000"/>
  </sheetPr>
  <dimension ref="A1:L68"/>
  <sheetViews>
    <sheetView topLeftCell="A15" zoomScaleNormal="100" workbookViewId="0">
      <selection activeCell="B24" sqref="B24"/>
    </sheetView>
  </sheetViews>
  <sheetFormatPr defaultRowHeight="15" x14ac:dyDescent="0.25"/>
  <cols>
    <col min="2" max="2" width="50.28515625" customWidth="1"/>
    <col min="3" max="5" width="11.7109375" customWidth="1"/>
    <col min="6" max="6" width="33.42578125" customWidth="1"/>
    <col min="7" max="10" width="13.42578125" customWidth="1"/>
  </cols>
  <sheetData>
    <row r="1" spans="1:11" ht="24" customHeight="1" x14ac:dyDescent="0.35">
      <c r="A1" s="11" t="s">
        <v>285</v>
      </c>
      <c r="B1" s="11"/>
      <c r="C1" s="11"/>
      <c r="D1" s="11"/>
      <c r="E1" s="11"/>
      <c r="F1" s="11"/>
      <c r="G1" s="11"/>
      <c r="H1" s="11"/>
      <c r="I1" s="11"/>
    </row>
    <row r="2" spans="1:11" ht="15" customHeight="1" x14ac:dyDescent="0.25"/>
    <row r="3" spans="1:11" ht="15" customHeight="1" x14ac:dyDescent="0.25">
      <c r="A3" s="559" t="s">
        <v>299</v>
      </c>
      <c r="B3" s="559"/>
      <c r="C3" s="559"/>
      <c r="D3" s="559"/>
      <c r="E3" s="562"/>
    </row>
    <row r="4" spans="1:11" ht="15" customHeight="1" x14ac:dyDescent="0.25">
      <c r="A4" s="188"/>
      <c r="B4" s="188"/>
      <c r="C4" s="188"/>
      <c r="D4" s="188"/>
      <c r="E4" s="502"/>
    </row>
    <row r="5" spans="1:11" x14ac:dyDescent="0.25">
      <c r="A5" s="43"/>
      <c r="B5" s="57" t="s">
        <v>39</v>
      </c>
      <c r="C5" s="58">
        <f>'Rekenblad '!B16</f>
        <v>0</v>
      </c>
      <c r="D5" s="57" t="s">
        <v>37</v>
      </c>
      <c r="E5" s="63"/>
    </row>
    <row r="6" spans="1:11" x14ac:dyDescent="0.25">
      <c r="A6" s="43"/>
      <c r="B6" s="57" t="s">
        <v>304</v>
      </c>
      <c r="C6" s="59">
        <f>C9*(C5/2)</f>
        <v>0</v>
      </c>
      <c r="D6" s="57" t="s">
        <v>37</v>
      </c>
      <c r="E6" s="63"/>
    </row>
    <row r="7" spans="1:11" x14ac:dyDescent="0.25">
      <c r="A7" s="43"/>
      <c r="B7" s="43" t="s">
        <v>305</v>
      </c>
      <c r="C7" s="308">
        <f>('Rekenblad '!D14/PI())/100</f>
        <v>0</v>
      </c>
      <c r="D7" s="57" t="s">
        <v>37</v>
      </c>
      <c r="E7" s="57"/>
      <c r="H7" s="6"/>
      <c r="K7" s="498"/>
    </row>
    <row r="8" spans="1:11" x14ac:dyDescent="0.25">
      <c r="A8" s="43"/>
      <c r="B8" s="43" t="s">
        <v>306</v>
      </c>
      <c r="C8" s="60">
        <f>C9*C5</f>
        <v>0</v>
      </c>
      <c r="D8" s="43" t="s">
        <v>37</v>
      </c>
      <c r="E8" s="43"/>
      <c r="G8" s="10"/>
    </row>
    <row r="9" spans="1:11" ht="15.75" thickBot="1" x14ac:dyDescent="0.3">
      <c r="A9" s="43"/>
      <c r="B9" s="43" t="s">
        <v>40</v>
      </c>
      <c r="C9" s="60">
        <f>C7/(C5-1.5)</f>
        <v>0</v>
      </c>
      <c r="D9" s="43" t="s">
        <v>37</v>
      </c>
      <c r="E9" s="43"/>
    </row>
    <row r="10" spans="1:11" x14ac:dyDescent="0.25">
      <c r="A10" s="43"/>
      <c r="B10" s="61" t="s">
        <v>327</v>
      </c>
      <c r="C10" s="62">
        <f>0.785*C6*C6*C5</f>
        <v>0</v>
      </c>
      <c r="D10" s="57" t="s">
        <v>38</v>
      </c>
      <c r="E10" s="57"/>
    </row>
    <row r="11" spans="1:11" ht="15.75" thickBot="1" x14ac:dyDescent="0.3">
      <c r="A11" s="43"/>
      <c r="B11" s="63" t="s">
        <v>328</v>
      </c>
      <c r="C11" s="64">
        <f>C10+C38</f>
        <v>0</v>
      </c>
      <c r="D11" s="54" t="s">
        <v>38</v>
      </c>
      <c r="E11" s="54"/>
    </row>
    <row r="12" spans="1:11" x14ac:dyDescent="0.25">
      <c r="A12" s="43"/>
      <c r="B12" s="43"/>
      <c r="C12" s="43"/>
      <c r="D12" s="43"/>
      <c r="E12" s="43"/>
    </row>
    <row r="13" spans="1:11" x14ac:dyDescent="0.25">
      <c r="A13" s="557" t="s">
        <v>64</v>
      </c>
      <c r="B13" s="557"/>
      <c r="C13" s="557"/>
      <c r="D13" s="557"/>
      <c r="E13" s="562"/>
    </row>
    <row r="14" spans="1:11" x14ac:dyDescent="0.25">
      <c r="A14" s="43"/>
      <c r="B14" s="43"/>
      <c r="C14" s="65"/>
      <c r="D14" s="43"/>
      <c r="E14" s="43"/>
    </row>
    <row r="15" spans="1:11" x14ac:dyDescent="0.25">
      <c r="A15" s="43"/>
      <c r="B15" s="43" t="s">
        <v>43</v>
      </c>
      <c r="C15" s="66">
        <f>'Rekenblad '!B21</f>
        <v>0</v>
      </c>
      <c r="D15" s="67" t="s">
        <v>37</v>
      </c>
      <c r="E15" s="67"/>
    </row>
    <row r="16" spans="1:11" x14ac:dyDescent="0.25">
      <c r="A16" s="43"/>
      <c r="B16" s="43" t="s">
        <v>42</v>
      </c>
      <c r="C16" s="68">
        <f>C5-C15</f>
        <v>0</v>
      </c>
      <c r="D16" s="43" t="s">
        <v>37</v>
      </c>
      <c r="E16" s="43"/>
    </row>
    <row r="17" spans="1:11" x14ac:dyDescent="0.25">
      <c r="A17" s="43"/>
      <c r="B17" s="43" t="s">
        <v>45</v>
      </c>
      <c r="C17" s="76">
        <f>C9*C16</f>
        <v>0</v>
      </c>
      <c r="D17" s="43" t="s">
        <v>37</v>
      </c>
      <c r="E17" s="43"/>
    </row>
    <row r="18" spans="1:11" x14ac:dyDescent="0.25">
      <c r="A18" s="43"/>
      <c r="B18" s="69" t="s">
        <v>72</v>
      </c>
      <c r="C18" s="60">
        <f>(C9*C16)/2</f>
        <v>0</v>
      </c>
      <c r="D18" s="67" t="s">
        <v>37</v>
      </c>
      <c r="E18" s="67"/>
    </row>
    <row r="19" spans="1:11" ht="15.75" customHeight="1" thickBot="1" x14ac:dyDescent="0.3">
      <c r="A19" s="43"/>
      <c r="B19" s="57" t="s">
        <v>75</v>
      </c>
      <c r="C19" s="59">
        <f>0.785*C18*C18*C16</f>
        <v>0</v>
      </c>
      <c r="D19" s="57" t="s">
        <v>38</v>
      </c>
      <c r="E19" s="57"/>
    </row>
    <row r="20" spans="1:11" ht="15.75" thickBot="1" x14ac:dyDescent="0.3">
      <c r="A20" s="43"/>
      <c r="B20" s="70" t="s">
        <v>76</v>
      </c>
      <c r="C20" s="71">
        <f>C10-C19</f>
        <v>0</v>
      </c>
      <c r="D20" s="67" t="s">
        <v>38</v>
      </c>
      <c r="E20" s="67"/>
    </row>
    <row r="21" spans="1:11" x14ac:dyDescent="0.25">
      <c r="A21" s="43"/>
      <c r="B21" s="43"/>
      <c r="C21" s="43"/>
      <c r="D21" s="43"/>
      <c r="E21" s="43"/>
    </row>
    <row r="22" spans="1:11" x14ac:dyDescent="0.25">
      <c r="A22" s="557" t="s">
        <v>65</v>
      </c>
      <c r="B22" s="557"/>
      <c r="C22" s="557"/>
      <c r="D22" s="557"/>
      <c r="E22" s="562"/>
    </row>
    <row r="23" spans="1:11" x14ac:dyDescent="0.25">
      <c r="A23" s="43"/>
      <c r="B23" s="43"/>
      <c r="C23" s="65"/>
      <c r="D23" s="57"/>
      <c r="E23" s="57"/>
    </row>
    <row r="24" spans="1:11" x14ac:dyDescent="0.25">
      <c r="A24" s="43"/>
      <c r="B24" s="43" t="s">
        <v>44</v>
      </c>
      <c r="C24" s="66" t="e">
        <f>C5-C15-C33</f>
        <v>#DIV/0!</v>
      </c>
      <c r="D24" s="54" t="s">
        <v>37</v>
      </c>
      <c r="E24" s="54"/>
    </row>
    <row r="25" spans="1:11" x14ac:dyDescent="0.25">
      <c r="A25" s="43"/>
      <c r="B25" s="43" t="s">
        <v>50</v>
      </c>
      <c r="C25" s="76">
        <f>C17</f>
        <v>0</v>
      </c>
      <c r="D25" s="54" t="s">
        <v>37</v>
      </c>
      <c r="E25" s="54"/>
    </row>
    <row r="26" spans="1:11" ht="15" customHeight="1" thickBot="1" x14ac:dyDescent="0.3">
      <c r="A26" s="43"/>
      <c r="B26" s="43" t="s">
        <v>49</v>
      </c>
      <c r="C26" s="309">
        <f>C34</f>
        <v>0.12</v>
      </c>
      <c r="D26" s="54" t="s">
        <v>37</v>
      </c>
      <c r="E26" s="54"/>
    </row>
    <row r="27" spans="1:11" ht="15.75" thickBot="1" x14ac:dyDescent="0.3">
      <c r="A27" s="43"/>
      <c r="B27" s="63" t="s">
        <v>67</v>
      </c>
      <c r="C27" s="72" t="e">
        <f>C10-C20-C36</f>
        <v>#DIV/0!</v>
      </c>
      <c r="D27" s="73" t="s">
        <v>38</v>
      </c>
      <c r="E27" s="54"/>
    </row>
    <row r="28" spans="1:11" x14ac:dyDescent="0.25">
      <c r="A28" s="43"/>
      <c r="B28" s="43"/>
      <c r="C28" s="74"/>
      <c r="D28" s="43"/>
      <c r="E28" s="43"/>
    </row>
    <row r="29" spans="1:11" x14ac:dyDescent="0.25">
      <c r="A29" s="43"/>
      <c r="B29" s="43"/>
      <c r="C29" s="43"/>
      <c r="D29" s="43"/>
      <c r="E29" s="43"/>
    </row>
    <row r="30" spans="1:11" x14ac:dyDescent="0.25">
      <c r="A30" s="43"/>
      <c r="B30" s="43"/>
      <c r="C30" s="43"/>
      <c r="D30" s="43"/>
      <c r="E30" s="43"/>
      <c r="F30" s="4"/>
    </row>
    <row r="31" spans="1:11" x14ac:dyDescent="0.25">
      <c r="A31" s="559" t="s">
        <v>93</v>
      </c>
      <c r="B31" s="559"/>
      <c r="C31" s="559"/>
      <c r="D31" s="559"/>
      <c r="E31" s="562"/>
      <c r="F31" s="4"/>
      <c r="G31" s="1"/>
      <c r="H31" s="1"/>
      <c r="I31" s="1"/>
      <c r="J31" s="1"/>
    </row>
    <row r="32" spans="1:11" x14ac:dyDescent="0.25">
      <c r="A32" s="43"/>
      <c r="B32" s="75"/>
      <c r="C32" s="65"/>
      <c r="D32" s="57"/>
      <c r="E32" s="57"/>
      <c r="F32" s="73"/>
      <c r="G32" s="314"/>
      <c r="H32" s="503"/>
      <c r="I32" s="503"/>
      <c r="J32" s="503"/>
      <c r="K32" s="1"/>
    </row>
    <row r="33" spans="1:12" ht="15.75" thickBot="1" x14ac:dyDescent="0.3">
      <c r="A33" s="43"/>
      <c r="B33" s="43" t="s">
        <v>51</v>
      </c>
      <c r="C33" s="76" t="e">
        <f>C34/C9</f>
        <v>#DIV/0!</v>
      </c>
      <c r="D33" s="54" t="s">
        <v>37</v>
      </c>
      <c r="E33" s="54"/>
      <c r="F33" s="504"/>
      <c r="G33" s="505"/>
      <c r="H33" s="505"/>
      <c r="I33" s="505"/>
      <c r="J33" s="505"/>
    </row>
    <row r="34" spans="1:12" x14ac:dyDescent="0.25">
      <c r="A34" s="43"/>
      <c r="B34" s="43" t="s">
        <v>70</v>
      </c>
      <c r="C34" s="76">
        <f>'Rekenblad '!H26</f>
        <v>0.12</v>
      </c>
      <c r="D34" s="57" t="s">
        <v>37</v>
      </c>
      <c r="E34" s="57"/>
      <c r="F34" s="563" t="s">
        <v>46</v>
      </c>
      <c r="G34" s="564"/>
      <c r="H34" s="564"/>
      <c r="I34" s="564"/>
      <c r="J34" s="565"/>
    </row>
    <row r="35" spans="1:12" ht="15.75" thickBot="1" x14ac:dyDescent="0.3">
      <c r="A35" s="43"/>
      <c r="B35" s="69" t="s">
        <v>73</v>
      </c>
      <c r="C35" s="60" t="e">
        <f>(C9*C33)/2</f>
        <v>#DIV/0!</v>
      </c>
      <c r="D35" s="54" t="s">
        <v>37</v>
      </c>
      <c r="E35" s="54"/>
      <c r="F35" s="160"/>
      <c r="G35" s="56" t="s">
        <v>325</v>
      </c>
      <c r="H35" s="77" t="s">
        <v>18</v>
      </c>
      <c r="I35" s="77" t="s">
        <v>326</v>
      </c>
      <c r="J35" s="202"/>
    </row>
    <row r="36" spans="1:12" ht="15.75" thickBot="1" x14ac:dyDescent="0.3">
      <c r="A36" s="43"/>
      <c r="B36" s="43" t="s">
        <v>71</v>
      </c>
      <c r="C36" s="71" t="e">
        <f>0.785*C35*C35*C33</f>
        <v>#DIV/0!</v>
      </c>
      <c r="D36" s="57" t="s">
        <v>38</v>
      </c>
      <c r="E36" s="57"/>
      <c r="F36" s="162" t="s">
        <v>10</v>
      </c>
      <c r="G36" s="152">
        <v>1.1599999999999999</v>
      </c>
      <c r="H36" s="153">
        <v>1.34</v>
      </c>
      <c r="I36" s="153">
        <v>2.04</v>
      </c>
      <c r="J36" s="203" t="s">
        <v>48</v>
      </c>
    </row>
    <row r="37" spans="1:12" x14ac:dyDescent="0.25">
      <c r="A37" s="43"/>
      <c r="B37" s="43" t="s">
        <v>68</v>
      </c>
      <c r="C37" s="78">
        <f>INDEX(F35:I51,J37,J38)</f>
        <v>1.34</v>
      </c>
      <c r="D37" s="43"/>
      <c r="E37" s="43"/>
      <c r="F37" s="107" t="s">
        <v>132</v>
      </c>
      <c r="G37" s="152">
        <v>1.24</v>
      </c>
      <c r="H37" s="153">
        <v>1.32</v>
      </c>
      <c r="I37" s="155">
        <v>1.39</v>
      </c>
      <c r="J37" s="154">
        <f>MATCH('Rekenblad '!B14,Volumebepaling!F35:F51,0)</f>
        <v>2</v>
      </c>
      <c r="K37" s="4"/>
    </row>
    <row r="38" spans="1:12" ht="15" customHeight="1" thickBot="1" x14ac:dyDescent="0.3">
      <c r="A38" s="43"/>
      <c r="B38" s="43" t="s">
        <v>69</v>
      </c>
      <c r="C38" s="60">
        <f>(C10*C37)-C10</f>
        <v>0</v>
      </c>
      <c r="D38" s="43" t="s">
        <v>38</v>
      </c>
      <c r="E38" s="43"/>
      <c r="F38" s="107" t="s">
        <v>130</v>
      </c>
      <c r="G38" s="152">
        <v>1.24</v>
      </c>
      <c r="H38" s="153">
        <v>1.32</v>
      </c>
      <c r="I38" s="155">
        <v>1.39</v>
      </c>
      <c r="J38" s="154">
        <f>MATCH('Rekenblad '!B33,Volumebepaling!F35:I35,0)</f>
        <v>3</v>
      </c>
      <c r="K38" s="1"/>
    </row>
    <row r="39" spans="1:12" ht="15" customHeight="1" thickBot="1" x14ac:dyDescent="0.3">
      <c r="A39" s="43"/>
      <c r="B39" s="43" t="s">
        <v>184</v>
      </c>
      <c r="C39" s="79" t="e">
        <f>C36+C38</f>
        <v>#DIV/0!</v>
      </c>
      <c r="D39" s="80" t="s">
        <v>38</v>
      </c>
      <c r="E39" s="57"/>
      <c r="F39" s="107" t="s">
        <v>82</v>
      </c>
      <c r="G39" s="152">
        <v>1.24</v>
      </c>
      <c r="H39" s="155">
        <v>1.32</v>
      </c>
      <c r="I39" s="155">
        <v>1.4</v>
      </c>
      <c r="J39" s="154"/>
    </row>
    <row r="40" spans="1:12" x14ac:dyDescent="0.25">
      <c r="A40" s="43"/>
      <c r="B40" s="43"/>
      <c r="C40" s="81"/>
      <c r="D40" s="43"/>
      <c r="E40" s="43"/>
      <c r="F40" s="107" t="s">
        <v>131</v>
      </c>
      <c r="G40" s="152">
        <v>1.24</v>
      </c>
      <c r="H40" s="155">
        <v>1.32</v>
      </c>
      <c r="I40" s="155">
        <v>1.4</v>
      </c>
      <c r="J40" s="150"/>
    </row>
    <row r="41" spans="1:12" x14ac:dyDescent="0.25">
      <c r="A41" s="560" t="s">
        <v>246</v>
      </c>
      <c r="B41" s="560"/>
      <c r="C41" s="495" t="s">
        <v>248</v>
      </c>
      <c r="D41" s="495"/>
      <c r="E41" s="497"/>
      <c r="F41" s="107" t="s">
        <v>134</v>
      </c>
      <c r="G41" s="152">
        <v>1.24</v>
      </c>
      <c r="H41" s="155">
        <v>1.32</v>
      </c>
      <c r="I41" s="155">
        <v>1.4</v>
      </c>
      <c r="J41" s="150"/>
      <c r="L41" s="13"/>
    </row>
    <row r="42" spans="1:12" x14ac:dyDescent="0.25">
      <c r="A42" s="499"/>
      <c r="B42" s="499"/>
      <c r="C42" s="500"/>
      <c r="D42" s="500"/>
      <c r="E42" s="501"/>
      <c r="F42" s="107" t="s">
        <v>135</v>
      </c>
      <c r="G42" s="152">
        <v>1.24</v>
      </c>
      <c r="H42" s="155">
        <v>1.32</v>
      </c>
      <c r="I42" s="155">
        <v>1.4</v>
      </c>
      <c r="J42" s="150"/>
      <c r="L42" s="13"/>
    </row>
    <row r="43" spans="1:12" x14ac:dyDescent="0.25">
      <c r="B43" s="198" t="s">
        <v>195</v>
      </c>
      <c r="C43" s="506">
        <f>0</f>
        <v>0</v>
      </c>
      <c r="D43" s="204" t="s">
        <v>38</v>
      </c>
      <c r="F43" s="151" t="s">
        <v>136</v>
      </c>
      <c r="G43" s="152">
        <v>1.24</v>
      </c>
      <c r="H43" s="155">
        <v>1.32</v>
      </c>
      <c r="I43" s="155">
        <v>1.4</v>
      </c>
      <c r="J43" s="156"/>
      <c r="K43" s="4"/>
    </row>
    <row r="44" spans="1:12" x14ac:dyDescent="0.25">
      <c r="B44" s="198" t="s">
        <v>197</v>
      </c>
      <c r="C44" s="365" t="e">
        <f>'Rekenblad '!L31+('Rekenblad '!L33*G53/100)</f>
        <v>#DIV/0!</v>
      </c>
      <c r="D44" s="205" t="s">
        <v>38</v>
      </c>
      <c r="F44" s="151" t="s">
        <v>137</v>
      </c>
      <c r="G44" s="152">
        <v>1.24</v>
      </c>
      <c r="H44" s="155">
        <v>1.32</v>
      </c>
      <c r="I44" s="155">
        <v>1.4</v>
      </c>
      <c r="J44" s="157"/>
    </row>
    <row r="45" spans="1:12" x14ac:dyDescent="0.25">
      <c r="B45" s="198" t="s">
        <v>196</v>
      </c>
      <c r="C45" s="366" t="e">
        <f>('Rekenblad '!L31+'Rekenblad '!L33)-(('Rekenblad '!L31+'Rekenblad '!L33)*'Rekenblad '!D35/100)</f>
        <v>#DIV/0!</v>
      </c>
      <c r="D45" s="204" t="s">
        <v>38</v>
      </c>
      <c r="F45" s="151" t="s">
        <v>138</v>
      </c>
      <c r="G45" s="152">
        <v>1.24</v>
      </c>
      <c r="H45" s="153">
        <v>1.32</v>
      </c>
      <c r="I45" s="165">
        <v>1.4</v>
      </c>
      <c r="J45" s="156"/>
    </row>
    <row r="46" spans="1:12" x14ac:dyDescent="0.25">
      <c r="F46" s="107" t="s">
        <v>81</v>
      </c>
      <c r="G46" s="161">
        <v>1.1399999999999999</v>
      </c>
      <c r="H46" s="159">
        <v>1.32</v>
      </c>
      <c r="I46" s="159">
        <v>1.4</v>
      </c>
      <c r="J46" s="156"/>
    </row>
    <row r="47" spans="1:12" x14ac:dyDescent="0.25">
      <c r="A47" s="560" t="s">
        <v>298</v>
      </c>
      <c r="B47" s="560"/>
      <c r="C47" s="560"/>
      <c r="D47" s="560"/>
      <c r="E47" s="566"/>
      <c r="F47" s="107" t="s">
        <v>202</v>
      </c>
      <c r="G47" s="161">
        <v>1.1399999999999999</v>
      </c>
      <c r="H47" s="159">
        <v>1.32</v>
      </c>
      <c r="I47" s="159">
        <v>1.4</v>
      </c>
      <c r="J47" s="156"/>
    </row>
    <row r="48" spans="1:12" x14ac:dyDescent="0.25">
      <c r="A48" s="499"/>
      <c r="B48" s="499"/>
      <c r="C48" s="499"/>
      <c r="D48" s="499"/>
      <c r="E48" s="83" t="s">
        <v>77</v>
      </c>
      <c r="F48" s="107" t="s">
        <v>139</v>
      </c>
      <c r="G48" s="152">
        <v>1.1399999999999999</v>
      </c>
      <c r="H48" s="153">
        <v>1.3</v>
      </c>
      <c r="I48" s="153">
        <v>1.36</v>
      </c>
      <c r="J48" s="156"/>
    </row>
    <row r="49" spans="1:10" x14ac:dyDescent="0.25">
      <c r="A49" s="43"/>
      <c r="B49" s="57" t="str">
        <f>'Rekenblad '!$D$39</f>
        <v>Werkhout</v>
      </c>
      <c r="C49" s="78" t="e">
        <f>'Rekenblad '!D40</f>
        <v>#DIV/0!</v>
      </c>
      <c r="D49" s="43" t="s">
        <v>38</v>
      </c>
      <c r="E49" s="82" t="e">
        <f>'Rekenblad '!N21</f>
        <v>#DIV/0!</v>
      </c>
      <c r="F49" s="107" t="s">
        <v>140</v>
      </c>
      <c r="G49" s="5">
        <v>1.1399999999999999</v>
      </c>
      <c r="H49" s="164">
        <v>1.29</v>
      </c>
      <c r="I49" s="5">
        <v>1.71</v>
      </c>
      <c r="J49" s="163"/>
    </row>
    <row r="50" spans="1:10" x14ac:dyDescent="0.25">
      <c r="A50" s="43"/>
      <c r="B50" s="57" t="str">
        <f>'Rekenblad '!$F$39</f>
        <v>Industriehout</v>
      </c>
      <c r="C50" s="78" t="e">
        <f>'Rekenblad '!F40</f>
        <v>#DIV/0!</v>
      </c>
      <c r="D50" s="43" t="s">
        <v>38</v>
      </c>
      <c r="E50" s="78" t="e">
        <f>'Rekenblad '!N26</f>
        <v>#DIV/0!</v>
      </c>
      <c r="F50" s="107" t="s">
        <v>141</v>
      </c>
      <c r="G50" s="152">
        <v>1.18</v>
      </c>
      <c r="H50" s="153">
        <v>1.28</v>
      </c>
      <c r="I50" s="153">
        <v>2.2400000000000002</v>
      </c>
      <c r="J50" s="156"/>
    </row>
    <row r="51" spans="1:10" x14ac:dyDescent="0.25">
      <c r="A51" s="43"/>
      <c r="B51" s="57" t="str">
        <f>'Rekenblad '!$H$39</f>
        <v>Tak- en tophout</v>
      </c>
      <c r="C51" s="78" t="e">
        <f>'Rekenblad '!H40</f>
        <v>#DIV/0!</v>
      </c>
      <c r="D51" s="57" t="s">
        <v>38</v>
      </c>
      <c r="E51" s="78" t="e">
        <f>'Rekenblad '!N35</f>
        <v>#DIV/0!</v>
      </c>
      <c r="F51" s="107" t="s">
        <v>142</v>
      </c>
      <c r="G51" s="152">
        <v>1.1399999999999999</v>
      </c>
      <c r="H51" s="153">
        <v>1.33</v>
      </c>
      <c r="I51" s="153">
        <v>1.71</v>
      </c>
      <c r="J51" s="201"/>
    </row>
    <row r="52" spans="1:10" ht="15.75" thickBot="1" x14ac:dyDescent="0.3">
      <c r="A52" s="43"/>
      <c r="B52" s="54" t="str">
        <f>'Rekenblad '!$J$39</f>
        <v>Return to nature</v>
      </c>
      <c r="C52" s="197" t="e">
        <f>'Rekenblad '!J40</f>
        <v>#DIV/0!</v>
      </c>
      <c r="D52" s="57" t="s">
        <v>38</v>
      </c>
      <c r="E52" s="197" t="e">
        <f>100-E53</f>
        <v>#DIV/0!</v>
      </c>
      <c r="F52" s="200"/>
      <c r="G52" s="199"/>
      <c r="H52" s="199"/>
      <c r="I52" s="199"/>
      <c r="J52" s="158"/>
    </row>
    <row r="53" spans="1:10" ht="15.75" thickBot="1" x14ac:dyDescent="0.3">
      <c r="A53" s="43"/>
      <c r="B53" s="57" t="s">
        <v>79</v>
      </c>
      <c r="C53" s="78" t="e">
        <f>C49+C50+C51</f>
        <v>#DIV/0!</v>
      </c>
      <c r="D53" s="57" t="s">
        <v>38</v>
      </c>
      <c r="E53" s="78" t="e">
        <f>E49+E50+E51</f>
        <v>#DIV/0!</v>
      </c>
      <c r="F53" s="362" t="s">
        <v>249</v>
      </c>
      <c r="G53" s="368">
        <v>30</v>
      </c>
      <c r="H53" s="367" t="s">
        <v>193</v>
      </c>
      <c r="I53" s="363"/>
      <c r="J53" s="364"/>
    </row>
    <row r="54" spans="1:10" x14ac:dyDescent="0.25">
      <c r="A54" s="195"/>
      <c r="B54" s="54"/>
      <c r="C54" s="78"/>
      <c r="D54" s="196"/>
      <c r="E54" s="55"/>
      <c r="F54" s="181"/>
      <c r="G54" s="181"/>
      <c r="H54" s="181"/>
      <c r="I54" s="181"/>
      <c r="J54" s="181"/>
    </row>
    <row r="55" spans="1:10" x14ac:dyDescent="0.25">
      <c r="A55" s="557" t="s">
        <v>55</v>
      </c>
      <c r="B55" s="557"/>
      <c r="C55" s="557"/>
      <c r="D55" s="557"/>
      <c r="E55" s="557"/>
      <c r="F55" s="557"/>
      <c r="G55" s="557"/>
      <c r="H55" s="557"/>
      <c r="I55" s="557"/>
      <c r="J55" s="557"/>
    </row>
    <row r="56" spans="1:10" s="3" customFormat="1" ht="5.25" customHeight="1" x14ac:dyDescent="0.25">
      <c r="A56" s="181"/>
      <c r="B56" s="181"/>
      <c r="C56" s="181"/>
      <c r="D56" s="181"/>
      <c r="E56" s="181"/>
      <c r="F56" s="496"/>
      <c r="G56" s="496"/>
      <c r="H56" s="496"/>
      <c r="I56" s="496"/>
      <c r="J56" s="496"/>
    </row>
    <row r="57" spans="1:10" ht="15" customHeight="1" x14ac:dyDescent="0.25">
      <c r="A57" s="43"/>
      <c r="B57" s="561" t="s">
        <v>63</v>
      </c>
      <c r="C57" s="561"/>
      <c r="D57" s="561"/>
      <c r="E57" s="561"/>
      <c r="F57" s="561"/>
      <c r="G57" s="561"/>
      <c r="H57" s="561"/>
      <c r="I57" s="561"/>
      <c r="J57" s="561"/>
    </row>
    <row r="58" spans="1:10" ht="15" customHeight="1" x14ac:dyDescent="0.25">
      <c r="A58" s="43"/>
      <c r="B58" s="561" t="s">
        <v>62</v>
      </c>
      <c r="C58" s="561"/>
      <c r="D58" s="561"/>
      <c r="E58" s="561"/>
      <c r="F58" s="561"/>
      <c r="G58" s="561"/>
      <c r="H58" s="561"/>
      <c r="I58" s="561"/>
      <c r="J58" s="561"/>
    </row>
    <row r="59" spans="1:10" ht="15" customHeight="1" x14ac:dyDescent="0.25">
      <c r="A59" s="43"/>
      <c r="B59" s="561"/>
      <c r="C59" s="561"/>
      <c r="D59" s="561"/>
      <c r="E59" s="561"/>
      <c r="F59" s="561"/>
      <c r="G59" s="561"/>
      <c r="H59" s="561"/>
      <c r="I59" s="561"/>
      <c r="J59" s="561"/>
    </row>
    <row r="60" spans="1:10" ht="15" customHeight="1" x14ac:dyDescent="0.25">
      <c r="A60" s="43"/>
      <c r="B60" s="561" t="s">
        <v>57</v>
      </c>
      <c r="C60" s="561"/>
      <c r="D60" s="561"/>
      <c r="E60" s="561"/>
      <c r="F60" s="561"/>
      <c r="G60" s="561"/>
      <c r="H60" s="561"/>
      <c r="I60" s="561"/>
      <c r="J60" s="561"/>
    </row>
    <row r="61" spans="1:10" x14ac:dyDescent="0.25">
      <c r="A61" s="43"/>
      <c r="B61" s="561"/>
      <c r="C61" s="561"/>
      <c r="D61" s="561"/>
      <c r="E61" s="561"/>
      <c r="F61" s="561"/>
      <c r="G61" s="561"/>
      <c r="H61" s="561"/>
      <c r="I61" s="561"/>
      <c r="J61" s="561"/>
    </row>
    <row r="62" spans="1:10" x14ac:dyDescent="0.25">
      <c r="A62" s="43"/>
      <c r="B62" s="494" t="s">
        <v>56</v>
      </c>
      <c r="C62" s="494"/>
      <c r="D62" s="494"/>
      <c r="E62" s="494"/>
      <c r="F62" s="84"/>
      <c r="G62" s="84"/>
      <c r="H62" s="84"/>
    </row>
    <row r="63" spans="1:10" x14ac:dyDescent="0.25">
      <c r="A63" s="43"/>
      <c r="B63" s="361"/>
      <c r="C63" s="361"/>
      <c r="D63" s="361"/>
      <c r="E63" s="361"/>
      <c r="F63" s="15"/>
      <c r="G63" s="15"/>
      <c r="H63" s="15"/>
    </row>
    <row r="64" spans="1:10" x14ac:dyDescent="0.25">
      <c r="A64" s="43"/>
      <c r="B64" s="43"/>
      <c r="C64" s="43"/>
      <c r="D64" s="84"/>
      <c r="E64" s="84"/>
      <c r="F64" s="487"/>
      <c r="G64" s="15"/>
      <c r="H64" s="15"/>
    </row>
    <row r="65" spans="2:8" x14ac:dyDescent="0.25">
      <c r="D65" s="15"/>
      <c r="E65" s="15"/>
      <c r="F65" s="488"/>
      <c r="G65" s="16"/>
      <c r="H65" s="16"/>
    </row>
    <row r="66" spans="2:8" x14ac:dyDescent="0.25">
      <c r="B66" s="486"/>
      <c r="C66" s="204"/>
      <c r="D66" s="487"/>
      <c r="E66" s="487"/>
      <c r="F66" s="17"/>
      <c r="G66" s="17"/>
      <c r="H66" s="17"/>
    </row>
    <row r="67" spans="2:8" x14ac:dyDescent="0.25">
      <c r="B67" s="486"/>
      <c r="C67" s="204"/>
      <c r="D67" s="488"/>
      <c r="E67" s="488"/>
    </row>
    <row r="68" spans="2:8" x14ac:dyDescent="0.25">
      <c r="D68" s="17"/>
      <c r="E68" s="17"/>
    </row>
  </sheetData>
  <sheetProtection password="E0F0" sheet="1" objects="1" scenarios="1"/>
  <mergeCells count="11">
    <mergeCell ref="A3:E3"/>
    <mergeCell ref="F34:J34"/>
    <mergeCell ref="A41:B41"/>
    <mergeCell ref="A47:E47"/>
    <mergeCell ref="A31:E31"/>
    <mergeCell ref="A22:E22"/>
    <mergeCell ref="A55:J55"/>
    <mergeCell ref="A13:E13"/>
    <mergeCell ref="B57:J57"/>
    <mergeCell ref="B58:J59"/>
    <mergeCell ref="B60:J6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FF0000"/>
  </sheetPr>
  <dimension ref="A1:K43"/>
  <sheetViews>
    <sheetView zoomScaleNormal="100" workbookViewId="0">
      <selection activeCell="B6" sqref="B6"/>
    </sheetView>
  </sheetViews>
  <sheetFormatPr defaultRowHeight="15" x14ac:dyDescent="0.25"/>
  <cols>
    <col min="1" max="1" width="31.140625" customWidth="1"/>
    <col min="2" max="7" width="15.7109375" customWidth="1"/>
    <col min="8" max="8" width="18.140625" customWidth="1"/>
    <col min="9" max="9" width="18.42578125" customWidth="1"/>
    <col min="10" max="18" width="15.7109375" customWidth="1"/>
    <col min="19" max="19" width="17.5703125" customWidth="1"/>
  </cols>
  <sheetData>
    <row r="1" spans="1:11" ht="23.25" x14ac:dyDescent="0.35">
      <c r="A1" s="11" t="s">
        <v>177</v>
      </c>
    </row>
    <row r="2" spans="1:11" ht="16.5" customHeight="1" x14ac:dyDescent="0.25"/>
    <row r="3" spans="1:11" x14ac:dyDescent="0.25">
      <c r="A3" s="559" t="s">
        <v>198</v>
      </c>
      <c r="B3" s="559"/>
      <c r="C3" s="559"/>
      <c r="D3" s="559"/>
      <c r="E3" s="559"/>
      <c r="F3" s="559"/>
      <c r="G3" s="559"/>
      <c r="H3" s="559"/>
      <c r="I3" s="559"/>
    </row>
    <row r="4" spans="1:11" s="3" customFormat="1" ht="6" customHeight="1" x14ac:dyDescent="0.25">
      <c r="A4" s="180"/>
      <c r="B4" s="182"/>
      <c r="C4" s="182"/>
      <c r="D4" s="182"/>
      <c r="E4" s="180"/>
      <c r="F4" s="180"/>
      <c r="G4" s="182"/>
      <c r="H4" s="181"/>
    </row>
    <row r="5" spans="1:11" ht="15.75" thickBot="1" x14ac:dyDescent="0.3">
      <c r="A5" s="420" t="s">
        <v>190</v>
      </c>
      <c r="B5" s="421" t="s">
        <v>261</v>
      </c>
      <c r="C5" s="422" t="s">
        <v>262</v>
      </c>
      <c r="D5" s="423" t="s">
        <v>259</v>
      </c>
      <c r="E5" s="421" t="s">
        <v>263</v>
      </c>
      <c r="F5" s="421" t="s">
        <v>264</v>
      </c>
      <c r="G5" s="424" t="s">
        <v>265</v>
      </c>
      <c r="H5" s="567" t="s">
        <v>254</v>
      </c>
      <c r="I5" s="568"/>
      <c r="K5" s="489" t="s">
        <v>148</v>
      </c>
    </row>
    <row r="6" spans="1:11" x14ac:dyDescent="0.25">
      <c r="A6" s="425" t="s">
        <v>10</v>
      </c>
      <c r="B6" s="237">
        <v>25</v>
      </c>
      <c r="C6" s="237">
        <v>37</v>
      </c>
      <c r="D6" s="237">
        <v>37</v>
      </c>
      <c r="E6" s="237">
        <v>43</v>
      </c>
      <c r="F6" s="237">
        <v>61</v>
      </c>
      <c r="G6" s="245">
        <v>33</v>
      </c>
      <c r="H6" s="569">
        <f>IF(I22&lt;99,B6,IF(I22&lt;149,C6,IF(I22&lt;199,D6,IF(I22&lt;249,E6,IF(I22&lt;299,F6,G6)))))</f>
        <v>25</v>
      </c>
      <c r="I6" s="570"/>
      <c r="K6" s="485">
        <v>0.77</v>
      </c>
    </row>
    <row r="7" spans="1:11" x14ac:dyDescent="0.25">
      <c r="A7" s="425" t="s">
        <v>132</v>
      </c>
      <c r="B7" s="212">
        <v>24</v>
      </c>
      <c r="C7" s="212">
        <v>30</v>
      </c>
      <c r="D7" s="212">
        <v>41</v>
      </c>
      <c r="E7" s="212">
        <v>41</v>
      </c>
      <c r="F7" s="212">
        <v>41</v>
      </c>
      <c r="G7" s="426" t="s">
        <v>133</v>
      </c>
      <c r="H7" s="569">
        <f>IF(I22&lt;99,B7,IF(I22&lt;149,C7,IF(I22&lt;199,D7,IF(I22&lt;249,E7,IF(I22&lt;299,F7,G7)))))</f>
        <v>24</v>
      </c>
      <c r="I7" s="570"/>
      <c r="K7" s="485">
        <v>0.68</v>
      </c>
    </row>
    <row r="8" spans="1:11" x14ac:dyDescent="0.25">
      <c r="A8" s="425" t="s">
        <v>130</v>
      </c>
      <c r="B8" s="212">
        <v>20</v>
      </c>
      <c r="C8" s="212">
        <v>26</v>
      </c>
      <c r="D8" s="212">
        <v>66</v>
      </c>
      <c r="E8" s="212">
        <v>66</v>
      </c>
      <c r="F8" s="212">
        <v>66</v>
      </c>
      <c r="G8" s="426" t="s">
        <v>133</v>
      </c>
      <c r="H8" s="569">
        <f>IF(I22&lt;99,B8,IF(I22&lt;149,C8,IF(I22&lt;199,D8,IF(I22&lt;249,E8,IF(I22&lt;299,F8,G8)))))</f>
        <v>20</v>
      </c>
      <c r="I8" s="570"/>
      <c r="K8" s="485">
        <v>0.68</v>
      </c>
    </row>
    <row r="9" spans="1:11" x14ac:dyDescent="0.25">
      <c r="A9" s="425" t="s">
        <v>82</v>
      </c>
      <c r="B9" s="212">
        <v>13</v>
      </c>
      <c r="C9" s="212">
        <v>13</v>
      </c>
      <c r="D9" s="212">
        <v>24</v>
      </c>
      <c r="E9" s="212">
        <v>24</v>
      </c>
      <c r="F9" s="212">
        <v>24</v>
      </c>
      <c r="G9" s="427">
        <v>24</v>
      </c>
      <c r="H9" s="569">
        <f>IF(I22&lt;99,B9,IF(I22&lt;149,C9,IF(I22&lt;199,D9,IF(I22&lt;249,E9,IF(I22&lt;299,F9,G9)))))</f>
        <v>13</v>
      </c>
      <c r="I9" s="570"/>
      <c r="K9" s="485">
        <v>0.77</v>
      </c>
    </row>
    <row r="10" spans="1:11" x14ac:dyDescent="0.25">
      <c r="A10" s="425" t="s">
        <v>131</v>
      </c>
      <c r="B10" s="212">
        <v>9</v>
      </c>
      <c r="C10" s="212">
        <v>9</v>
      </c>
      <c r="D10" s="212" t="s">
        <v>133</v>
      </c>
      <c r="E10" s="212" t="s">
        <v>133</v>
      </c>
      <c r="F10" s="212" t="s">
        <v>133</v>
      </c>
      <c r="G10" s="426" t="s">
        <v>133</v>
      </c>
      <c r="H10" s="569">
        <f>IF(I22&lt;99,B10,IF(I22&lt;149,C10,IF(I22&lt;199,D10,IF(I22&lt;249,E10,IF(I22&lt;299,F10,G10)))))</f>
        <v>9</v>
      </c>
      <c r="I10" s="570"/>
      <c r="K10" s="485">
        <v>0.77</v>
      </c>
    </row>
    <row r="11" spans="1:11" x14ac:dyDescent="0.25">
      <c r="A11" s="425" t="s">
        <v>134</v>
      </c>
      <c r="B11" s="212">
        <v>21</v>
      </c>
      <c r="C11" s="212">
        <v>21</v>
      </c>
      <c r="D11" s="212">
        <v>48</v>
      </c>
      <c r="E11" s="212">
        <v>48</v>
      </c>
      <c r="F11" s="212" t="s">
        <v>133</v>
      </c>
      <c r="G11" s="426" t="s">
        <v>133</v>
      </c>
      <c r="H11" s="569">
        <f>IF(I22&lt;99,B11,IF(I22&lt;149,C11,IF(I22&lt;199,D11,IF(I22&lt;249,E11,IF(I22&lt;299,F11,G11)))))</f>
        <v>21</v>
      </c>
      <c r="I11" s="570"/>
      <c r="K11" s="485">
        <v>0.68</v>
      </c>
    </row>
    <row r="12" spans="1:11" x14ac:dyDescent="0.25">
      <c r="A12" s="425" t="s">
        <v>135</v>
      </c>
      <c r="B12" s="212">
        <v>12</v>
      </c>
      <c r="C12" s="212">
        <v>19</v>
      </c>
      <c r="D12" s="212">
        <v>63</v>
      </c>
      <c r="E12" s="212">
        <v>63</v>
      </c>
      <c r="F12" s="212" t="s">
        <v>133</v>
      </c>
      <c r="G12" s="428" t="s">
        <v>133</v>
      </c>
      <c r="H12" s="569">
        <f>IF(I22&lt;99,B12,IF(I22&lt;149,C12,IF(I22&lt;199,D12,IF(I22&lt;249,E12,IF(I22&lt;299,F12,G12)))))</f>
        <v>12</v>
      </c>
      <c r="I12" s="570"/>
      <c r="K12" s="485">
        <v>0.77</v>
      </c>
    </row>
    <row r="13" spans="1:11" x14ac:dyDescent="0.25">
      <c r="A13" s="425" t="s">
        <v>136</v>
      </c>
      <c r="B13" s="212">
        <v>16</v>
      </c>
      <c r="C13" s="212">
        <v>16</v>
      </c>
      <c r="D13" s="212">
        <v>16</v>
      </c>
      <c r="E13" s="212">
        <v>16</v>
      </c>
      <c r="F13" s="212" t="s">
        <v>133</v>
      </c>
      <c r="G13" s="428" t="s">
        <v>133</v>
      </c>
      <c r="H13" s="569">
        <f>IF(I22&lt;99,B13,IF(I22&lt;149,C13,IF(I22&lt;199,D13,IF(I22&lt;249,E13,IF(I22&lt;299,F13,G13)))))</f>
        <v>16</v>
      </c>
      <c r="I13" s="570"/>
      <c r="K13" s="485">
        <v>0.77</v>
      </c>
    </row>
    <row r="14" spans="1:11" x14ac:dyDescent="0.25">
      <c r="A14" s="425" t="s">
        <v>137</v>
      </c>
      <c r="B14" s="212">
        <v>27</v>
      </c>
      <c r="C14" s="212">
        <v>27</v>
      </c>
      <c r="D14" s="212">
        <v>27</v>
      </c>
      <c r="E14" s="212" t="s">
        <v>133</v>
      </c>
      <c r="F14" s="212" t="s">
        <v>133</v>
      </c>
      <c r="G14" s="428" t="s">
        <v>133</v>
      </c>
      <c r="H14" s="569">
        <f>IF(I22&lt;99,B14,IF(I22&lt;149,C14,IF(I22&lt;199,D14,IF(I22&lt;249,E14,IF(I22&lt;299,F14,G14)))))</f>
        <v>27</v>
      </c>
      <c r="I14" s="570"/>
      <c r="K14" s="485">
        <v>0.77</v>
      </c>
    </row>
    <row r="15" spans="1:11" x14ac:dyDescent="0.25">
      <c r="A15" s="429" t="s">
        <v>138</v>
      </c>
      <c r="B15" s="430">
        <v>8</v>
      </c>
      <c r="C15" s="430">
        <v>19</v>
      </c>
      <c r="D15" s="430">
        <v>19</v>
      </c>
      <c r="E15" s="430" t="s">
        <v>133</v>
      </c>
      <c r="F15" s="430" t="s">
        <v>133</v>
      </c>
      <c r="G15" s="431" t="s">
        <v>133</v>
      </c>
      <c r="H15" s="569">
        <f>IF(I22&lt;99,B15,IF(I22&lt;149,C15,IF(I22&lt;199,D15,IF(I22&lt;249,E15,IF(I22&lt;299,F15,G15)))))</f>
        <v>8</v>
      </c>
      <c r="I15" s="570"/>
      <c r="K15" s="485">
        <v>0.77</v>
      </c>
    </row>
    <row r="16" spans="1:11" x14ac:dyDescent="0.25">
      <c r="A16" s="425" t="s">
        <v>81</v>
      </c>
      <c r="B16" s="212">
        <v>10</v>
      </c>
      <c r="C16" s="212">
        <v>16</v>
      </c>
      <c r="D16" s="212">
        <v>16</v>
      </c>
      <c r="E16" s="212">
        <v>16</v>
      </c>
      <c r="F16" s="212" t="s">
        <v>133</v>
      </c>
      <c r="G16" s="432" t="s">
        <v>133</v>
      </c>
      <c r="H16" s="569">
        <f>IF(I22&lt;79,B16,IF(I22&lt;119,C16,IF(I22&lt;159,D16,IF(I22&lt;199,E16,IF(I22&lt;239,F16,G16)))))</f>
        <v>10</v>
      </c>
      <c r="I16" s="570"/>
      <c r="K16" s="485">
        <v>0.76</v>
      </c>
    </row>
    <row r="17" spans="1:11" x14ac:dyDescent="0.25">
      <c r="A17" s="425" t="s">
        <v>202</v>
      </c>
      <c r="B17" s="212">
        <v>8</v>
      </c>
      <c r="C17" s="212">
        <v>20</v>
      </c>
      <c r="D17" s="212">
        <v>20</v>
      </c>
      <c r="E17" s="212">
        <v>20</v>
      </c>
      <c r="F17" s="212">
        <v>20</v>
      </c>
      <c r="G17" s="432" t="s">
        <v>133</v>
      </c>
      <c r="H17" s="569">
        <f>IF(I22&lt;79,B17,IF(I22&lt;119,C17,IF(I22&lt;159,D17,IF(I22&lt;199,E17,IF(I22&lt;239,F17,G17)))))</f>
        <v>8</v>
      </c>
      <c r="I17" s="570"/>
      <c r="K17" s="485">
        <v>0.76</v>
      </c>
    </row>
    <row r="18" spans="1:11" x14ac:dyDescent="0.25">
      <c r="A18" s="425" t="s">
        <v>139</v>
      </c>
      <c r="B18" s="212">
        <v>8</v>
      </c>
      <c r="C18" s="212">
        <v>8</v>
      </c>
      <c r="D18" s="212">
        <v>26</v>
      </c>
      <c r="E18" s="212">
        <v>48</v>
      </c>
      <c r="F18" s="212">
        <v>48</v>
      </c>
      <c r="G18" s="432" t="s">
        <v>133</v>
      </c>
      <c r="H18" s="569">
        <f>IF(I22&lt;79,B18,IF(I22&lt;119,C18,IF(I22&lt;159,D18,IF(I22&lt;199,E18,IF(I22&lt;239,F18,G18)))))</f>
        <v>8</v>
      </c>
      <c r="I18" s="570"/>
      <c r="K18" s="485">
        <v>0.76</v>
      </c>
    </row>
    <row r="19" spans="1:11" x14ac:dyDescent="0.25">
      <c r="A19" s="425" t="s">
        <v>140</v>
      </c>
      <c r="B19" s="212">
        <v>15</v>
      </c>
      <c r="C19" s="212">
        <v>15</v>
      </c>
      <c r="D19" s="212">
        <v>15</v>
      </c>
      <c r="E19" s="212">
        <v>15</v>
      </c>
      <c r="F19" s="433" t="s">
        <v>133</v>
      </c>
      <c r="G19" s="432" t="s">
        <v>133</v>
      </c>
      <c r="H19" s="569">
        <f>IF(I22&lt;79,B19,IF(I22&lt;119,C19,IF(I22&lt;159,D19,IF(I22&lt;199,E19,IF(I22&lt;239,F19,G19)))))</f>
        <v>15</v>
      </c>
      <c r="I19" s="570"/>
      <c r="K19" s="485">
        <v>0.76</v>
      </c>
    </row>
    <row r="20" spans="1:11" x14ac:dyDescent="0.25">
      <c r="A20" s="425" t="s">
        <v>141</v>
      </c>
      <c r="B20" s="212">
        <v>14</v>
      </c>
      <c r="C20" s="212">
        <v>14</v>
      </c>
      <c r="D20" s="212">
        <v>14</v>
      </c>
      <c r="E20" s="212">
        <v>44</v>
      </c>
      <c r="F20" s="212">
        <v>44</v>
      </c>
      <c r="G20" s="432">
        <v>44</v>
      </c>
      <c r="H20" s="569">
        <f>IF(I22&lt;79,B20,IF(I22&lt;119,C20,IF(I22&lt;159,D20,IF(I22&lt;199,E20,IF(I22&lt;239,F20,G20)))))</f>
        <v>14</v>
      </c>
      <c r="I20" s="570"/>
      <c r="K20" s="485">
        <v>0.76</v>
      </c>
    </row>
    <row r="21" spans="1:11" ht="15.75" thickBot="1" x14ac:dyDescent="0.3">
      <c r="A21" s="425" t="s">
        <v>142</v>
      </c>
      <c r="B21" s="212">
        <v>3</v>
      </c>
      <c r="C21" s="212">
        <v>3</v>
      </c>
      <c r="D21" s="212">
        <v>37</v>
      </c>
      <c r="E21" s="212">
        <v>39</v>
      </c>
      <c r="F21" s="212">
        <v>39</v>
      </c>
      <c r="G21" s="432" t="s">
        <v>133</v>
      </c>
      <c r="H21" s="569">
        <f>IF(I22&lt;79,B21,IF(I22&lt;119,C21,IF(I22&lt;159,D21,IF(I22&lt;199,E21,IF(I22&lt;239,F21,G21)))))</f>
        <v>3</v>
      </c>
      <c r="I21" s="570"/>
      <c r="K21" s="485">
        <v>0.76</v>
      </c>
    </row>
    <row r="22" spans="1:11" x14ac:dyDescent="0.25">
      <c r="A22" s="434"/>
      <c r="B22" s="435" t="s">
        <v>256</v>
      </c>
      <c r="C22" s="436" t="s">
        <v>257</v>
      </c>
      <c r="D22" s="435" t="s">
        <v>258</v>
      </c>
      <c r="E22" s="435" t="s">
        <v>259</v>
      </c>
      <c r="F22" s="436" t="s">
        <v>260</v>
      </c>
      <c r="G22" s="437" t="s">
        <v>266</v>
      </c>
      <c r="H22" s="419" t="s">
        <v>255</v>
      </c>
      <c r="I22" s="410">
        <f>'Rekenblad '!D14</f>
        <v>0</v>
      </c>
      <c r="K22" s="208"/>
    </row>
    <row r="23" spans="1:11" x14ac:dyDescent="0.25">
      <c r="A23" s="187"/>
      <c r="B23" s="184"/>
      <c r="C23" s="184"/>
      <c r="D23" s="184"/>
      <c r="E23" s="184"/>
      <c r="F23" s="184"/>
      <c r="G23" s="9"/>
      <c r="H23" s="1"/>
    </row>
    <row r="25" spans="1:11" x14ac:dyDescent="0.25">
      <c r="A25" s="559" t="s">
        <v>321</v>
      </c>
      <c r="B25" s="559"/>
      <c r="C25" s="559"/>
      <c r="D25" s="559"/>
      <c r="E25" s="559"/>
      <c r="F25" s="559"/>
      <c r="G25" s="559"/>
      <c r="H25" s="559"/>
      <c r="I25" s="559"/>
    </row>
    <row r="26" spans="1:11" s="3" customFormat="1" ht="6.75" customHeight="1" x14ac:dyDescent="0.25">
      <c r="A26" s="188"/>
      <c r="B26" s="188"/>
      <c r="C26" s="188"/>
      <c r="D26" s="188"/>
      <c r="E26" s="188"/>
      <c r="F26" s="188"/>
      <c r="G26" s="188"/>
      <c r="H26" s="188"/>
      <c r="I26" s="188"/>
    </row>
    <row r="27" spans="1:11" s="3" customFormat="1" ht="15.75" thickBot="1" x14ac:dyDescent="0.3">
      <c r="A27" s="420" t="s">
        <v>320</v>
      </c>
      <c r="B27" s="571"/>
      <c r="C27" s="572"/>
      <c r="D27" s="572"/>
      <c r="E27" s="572"/>
      <c r="F27" s="572"/>
      <c r="G27" s="572"/>
      <c r="H27" s="573"/>
    </row>
    <row r="28" spans="1:11" ht="15.75" thickBot="1" x14ac:dyDescent="0.3">
      <c r="A28" s="438" t="s">
        <v>201</v>
      </c>
      <c r="B28" s="452" t="s">
        <v>290</v>
      </c>
      <c r="C28" s="453" t="s">
        <v>291</v>
      </c>
      <c r="D28" s="454" t="s">
        <v>292</v>
      </c>
      <c r="E28" s="453" t="s">
        <v>293</v>
      </c>
      <c r="F28" s="454" t="s">
        <v>294</v>
      </c>
      <c r="G28" s="453" t="s">
        <v>295</v>
      </c>
      <c r="H28" s="455" t="s">
        <v>288</v>
      </c>
    </row>
    <row r="29" spans="1:11" x14ac:dyDescent="0.25">
      <c r="A29" s="438" t="s">
        <v>127</v>
      </c>
      <c r="B29" s="456">
        <v>38</v>
      </c>
      <c r="C29" s="457">
        <v>36</v>
      </c>
      <c r="D29" s="458">
        <v>32</v>
      </c>
      <c r="E29" s="457">
        <v>28</v>
      </c>
      <c r="F29" s="459">
        <v>24</v>
      </c>
      <c r="G29" s="457">
        <v>22</v>
      </c>
      <c r="H29" s="460">
        <v>20</v>
      </c>
    </row>
    <row r="30" spans="1:11" x14ac:dyDescent="0.25">
      <c r="A30" s="1"/>
      <c r="B30" s="8"/>
      <c r="C30" s="193"/>
      <c r="D30" s="193"/>
      <c r="E30" s="207"/>
      <c r="F30" s="461"/>
      <c r="G30" s="193"/>
      <c r="H30" s="193"/>
      <c r="I30" s="193"/>
    </row>
    <row r="32" spans="1:11" x14ac:dyDescent="0.25">
      <c r="A32" s="559" t="s">
        <v>191</v>
      </c>
      <c r="B32" s="559"/>
      <c r="C32" s="559"/>
      <c r="D32" s="559"/>
      <c r="E32" s="559"/>
      <c r="F32" s="559"/>
      <c r="G32" s="559"/>
      <c r="H32" s="559"/>
      <c r="I32" s="559"/>
    </row>
    <row r="33" spans="1:11" ht="6" customHeight="1" x14ac:dyDescent="0.25"/>
    <row r="34" spans="1:11" ht="15.75" thickBot="1" x14ac:dyDescent="0.3">
      <c r="A34" s="439" t="s">
        <v>289</v>
      </c>
      <c r="B34" s="440" t="s">
        <v>186</v>
      </c>
      <c r="C34" s="440" t="s">
        <v>187</v>
      </c>
      <c r="D34" s="443" t="s">
        <v>188</v>
      </c>
      <c r="E34" s="443" t="s">
        <v>189</v>
      </c>
    </row>
    <row r="35" spans="1:11" x14ac:dyDescent="0.25">
      <c r="A35" s="441" t="s">
        <v>150</v>
      </c>
      <c r="B35" s="448">
        <v>55</v>
      </c>
      <c r="C35" s="450">
        <v>45</v>
      </c>
      <c r="D35" s="447">
        <v>65</v>
      </c>
      <c r="E35" s="450">
        <v>55</v>
      </c>
    </row>
    <row r="36" spans="1:11" x14ac:dyDescent="0.25">
      <c r="A36" s="441" t="s">
        <v>149</v>
      </c>
      <c r="B36" s="462">
        <v>50</v>
      </c>
      <c r="C36" s="463">
        <v>40</v>
      </c>
      <c r="D36" s="451"/>
      <c r="E36" s="192"/>
    </row>
    <row r="37" spans="1:11" x14ac:dyDescent="0.25">
      <c r="A37" s="441" t="s">
        <v>269</v>
      </c>
      <c r="B37" s="462">
        <v>45</v>
      </c>
      <c r="C37" s="463">
        <v>35</v>
      </c>
      <c r="D37" s="442"/>
      <c r="E37" s="192"/>
    </row>
    <row r="38" spans="1:11" x14ac:dyDescent="0.25">
      <c r="A38" s="441" t="s">
        <v>151</v>
      </c>
      <c r="B38" s="462">
        <v>40</v>
      </c>
      <c r="C38" s="463">
        <v>30</v>
      </c>
      <c r="D38" s="442"/>
      <c r="E38" s="192"/>
    </row>
    <row r="39" spans="1:11" ht="14.25" customHeight="1" x14ac:dyDescent="0.25">
      <c r="B39" s="449"/>
      <c r="C39" s="449"/>
    </row>
    <row r="41" spans="1:11" x14ac:dyDescent="0.25">
      <c r="A41" s="557" t="s">
        <v>300</v>
      </c>
      <c r="B41" s="557"/>
      <c r="C41" s="557"/>
      <c r="D41" s="557"/>
      <c r="E41" s="557"/>
      <c r="F41" s="557"/>
      <c r="G41" s="557"/>
      <c r="H41" s="557"/>
      <c r="I41" s="557"/>
      <c r="J41" s="182"/>
      <c r="K41" s="182"/>
    </row>
    <row r="42" spans="1:11" ht="5.25" customHeight="1" x14ac:dyDescent="0.25"/>
    <row r="43" spans="1:11" ht="18.75" x14ac:dyDescent="0.3">
      <c r="B43" s="508" t="s">
        <v>310</v>
      </c>
    </row>
  </sheetData>
  <sheetProtection password="E0F0" sheet="1" objects="1" scenarios="1"/>
  <mergeCells count="22">
    <mergeCell ref="A25:I25"/>
    <mergeCell ref="H14:I14"/>
    <mergeCell ref="H15:I15"/>
    <mergeCell ref="H16:I16"/>
    <mergeCell ref="H17:I17"/>
    <mergeCell ref="H18:I18"/>
    <mergeCell ref="A41:I41"/>
    <mergeCell ref="A3:I3"/>
    <mergeCell ref="A32:I32"/>
    <mergeCell ref="H5:I5"/>
    <mergeCell ref="H6:I6"/>
    <mergeCell ref="H7:I7"/>
    <mergeCell ref="H8:I8"/>
    <mergeCell ref="H9:I9"/>
    <mergeCell ref="H10:I10"/>
    <mergeCell ref="H11:I11"/>
    <mergeCell ref="H12:I12"/>
    <mergeCell ref="H13:I13"/>
    <mergeCell ref="B27:H27"/>
    <mergeCell ref="H19:I19"/>
    <mergeCell ref="H20:I20"/>
    <mergeCell ref="H21:I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Rekenblad </vt:lpstr>
      <vt:lpstr>Algemeen en kostprijzen</vt:lpstr>
      <vt:lpstr>Volumebepaling</vt:lpstr>
      <vt:lpstr>Houtprijzen</vt:lpstr>
    </vt:vector>
  </TitlesOfParts>
  <Company>Vlaamse Overheid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bert.geeraerts@lne.vlaanderen.be</dc:creator>
  <cp:lastModifiedBy>Bert</cp:lastModifiedBy>
  <cp:lastPrinted>2014-09-11T07:21:24Z</cp:lastPrinted>
  <dcterms:created xsi:type="dcterms:W3CDTF">2013-07-10T13:40:21Z</dcterms:created>
  <dcterms:modified xsi:type="dcterms:W3CDTF">2015-06-17T06:44:50Z</dcterms:modified>
</cp:coreProperties>
</file>