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071" yWindow="195" windowWidth="19440" windowHeight="11040" activeTab="0"/>
  </bookViews>
  <sheets>
    <sheet name="soort_doelstelling" sheetId="1" r:id="rId1"/>
  </sheets>
  <definedNames>
    <definedName name="betrouwbaarheid">'soort_doelstelling'!$Q$16:$Q$19</definedName>
  </definedNames>
  <calcPr fullCalcOnLoad="1"/>
</workbook>
</file>

<file path=xl/sharedStrings.xml><?xml version="1.0" encoding="utf-8"?>
<sst xmlns="http://schemas.openxmlformats.org/spreadsheetml/2006/main" count="246" uniqueCount="179">
  <si>
    <t>1. soortspecifieke kenmerken</t>
  </si>
  <si>
    <t>1.1. opspoorbaarheid van de soort</t>
  </si>
  <si>
    <t>2. kenmerken van het beheersgebied</t>
  </si>
  <si>
    <t>2.1. grootte van het gebied</t>
  </si>
  <si>
    <t>2.3. eigendomstructuur</t>
  </si>
  <si>
    <t>2.4. noodzaak tot het nemen van maatregelen</t>
  </si>
  <si>
    <t>2.5. herkolonisatie</t>
  </si>
  <si>
    <t>3. kenmerken methode</t>
  </si>
  <si>
    <t>beschrijf de beoordeelde ingreep:</t>
  </si>
  <si>
    <t>doel van de beoordeelde ingreep:</t>
  </si>
  <si>
    <t>3.1. effectiviteit van de methode</t>
  </si>
  <si>
    <t>3.2. kosten</t>
  </si>
  <si>
    <t>4. Draagvlak</t>
  </si>
  <si>
    <t>4.1. draagvlak tov soort</t>
  </si>
  <si>
    <t>4.2. draagvlak methode</t>
  </si>
  <si>
    <t>5. wetgeving</t>
  </si>
  <si>
    <t>laag</t>
  </si>
  <si>
    <t>matig</t>
  </si>
  <si>
    <t>hoog</t>
  </si>
  <si>
    <t>zeer hoog</t>
  </si>
  <si>
    <t xml:space="preserve"> antwoord</t>
  </si>
  <si>
    <t>Algemene instructies</t>
  </si>
  <si>
    <r>
      <t xml:space="preserve">In de </t>
    </r>
    <r>
      <rPr>
        <b/>
        <sz val="10"/>
        <rFont val="Calibri"/>
        <family val="2"/>
      </rPr>
      <t>kolom "betrouwbaarheid"</t>
    </r>
    <r>
      <rPr>
        <sz val="10"/>
        <rFont val="Calibri"/>
        <family val="2"/>
      </rPr>
      <t xml:space="preserve"> dient de betrouwbaarheid van ieder gegeven antwoord ingeschat te worden. Door te klikken op de gele velden, kan via een keuzelijst het gewenste antwoord aangeklikt worden.</t>
    </r>
  </si>
  <si>
    <t>1.2. voorkomen</t>
  </si>
  <si>
    <t>3.4. tijdspanne</t>
  </si>
  <si>
    <t>uitvoering binnen een bepaalde periode?</t>
  </si>
  <si>
    <t>1.4 mate van aggregatie</t>
  </si>
  <si>
    <t>1.5. dichtheid van de soort</t>
  </si>
  <si>
    <t>1.6 populatiegrootte</t>
  </si>
  <si>
    <t>3.3  negatieve effecten?</t>
  </si>
  <si>
    <t xml:space="preserve">tussenscore </t>
  </si>
  <si>
    <t xml:space="preserve">beoordeelde soort   </t>
  </si>
  <si>
    <t xml:space="preserve">beoordeeld gebied   </t>
  </si>
  <si>
    <t>deelvraag 3.2.c) kosten door derden?</t>
  </si>
  <si>
    <t xml:space="preserve">deelvraag 4.1.a) politiek en sociaal draagvlak </t>
  </si>
  <si>
    <t xml:space="preserve">deelvraag 4.2.a) politiek en sociaal draagvlak </t>
  </si>
  <si>
    <t>deelvraag 5.1.a) overal toepasbaar</t>
  </si>
  <si>
    <t>deelvraag 5.1.b) beperkt in de tijd?</t>
  </si>
  <si>
    <t>wegingsfactor</t>
  </si>
  <si>
    <t>eindscore</t>
  </si>
  <si>
    <t>betrouw-baarheid</t>
  </si>
  <si>
    <t>betrouwbaar-heidstussenscore</t>
  </si>
  <si>
    <t>betrouwbaar-heidseindscore</t>
  </si>
  <si>
    <t>gemiddeld aantal mandagen?</t>
  </si>
  <si>
    <t>totaal aantal mandagen?</t>
  </si>
  <si>
    <t>HERSCHAALDE EINDSCORE NAAR 100</t>
  </si>
  <si>
    <t>1.3 afstand tussen de populaties</t>
  </si>
  <si>
    <t>2.2 bereikbaarheid van het gebied</t>
  </si>
  <si>
    <t>1,1,a</t>
  </si>
  <si>
    <t>a - heel moeilijk</t>
  </si>
  <si>
    <t>b - moeilijk</t>
  </si>
  <si>
    <t>c - matig</t>
  </si>
  <si>
    <t>d - gemakkelijk</t>
  </si>
  <si>
    <t>e - heel gemakkelijk</t>
  </si>
  <si>
    <t>1,1,b</t>
  </si>
  <si>
    <t>a - niet of nauwelijks</t>
  </si>
  <si>
    <t>c - relatief gemakkelijk</t>
  </si>
  <si>
    <t>a - 75% of meer</t>
  </si>
  <si>
    <t>b - van 50% tot 75%</t>
  </si>
  <si>
    <t>c - van 25% tot en met 50%</t>
  </si>
  <si>
    <t>d - minder dan 25%</t>
  </si>
  <si>
    <t>a - zeer groot</t>
  </si>
  <si>
    <t>d - klein</t>
  </si>
  <si>
    <t>e - zeer klein</t>
  </si>
  <si>
    <t>a - zeer veel</t>
  </si>
  <si>
    <t>1,3 - 2,1</t>
  </si>
  <si>
    <t>d - onmiskenbaar</t>
  </si>
  <si>
    <t>b - groot</t>
  </si>
  <si>
    <t>a - niet bereikbaar</t>
  </si>
  <si>
    <t>b - weinig bereikbaar</t>
  </si>
  <si>
    <t>c - gemiddeld bereikbaar</t>
  </si>
  <si>
    <t>d - goed bereikbaar</t>
  </si>
  <si>
    <t>e - zeer goed bereikbaar</t>
  </si>
  <si>
    <t>a - zeer kleine kans</t>
  </si>
  <si>
    <t>b - kleine kans</t>
  </si>
  <si>
    <t>c - matige kans</t>
  </si>
  <si>
    <t>d - grote kans</t>
  </si>
  <si>
    <t>e - zeer grote kans</t>
  </si>
  <si>
    <t>2,4,a</t>
  </si>
  <si>
    <t>a - populatie beperkt, trage vermenigvuldiging</t>
  </si>
  <si>
    <t>b - populatie beperkt, snelle vermenigvuldiging</t>
  </si>
  <si>
    <t>2,4,b</t>
  </si>
  <si>
    <t>a - minder dan 25%</t>
  </si>
  <si>
    <t>b - 25% tot 50%</t>
  </si>
  <si>
    <t>c - 50% tot 75%</t>
  </si>
  <si>
    <t>d - 75% of meer</t>
  </si>
  <si>
    <t>2,5a</t>
  </si>
  <si>
    <t>a - meer dan 70%</t>
  </si>
  <si>
    <t>b - 40% tot 70%</t>
  </si>
  <si>
    <t>c - 15% tot 40%</t>
  </si>
  <si>
    <t>d - minder dan 15%</t>
  </si>
  <si>
    <t>2,5,b</t>
  </si>
  <si>
    <t>a - ja</t>
  </si>
  <si>
    <t>b - neen</t>
  </si>
  <si>
    <t>2,5,c</t>
  </si>
  <si>
    <t>a - heel vaak</t>
  </si>
  <si>
    <t>c - af en toe</t>
  </si>
  <si>
    <t>d - zelden</t>
  </si>
  <si>
    <t>e - niet</t>
  </si>
  <si>
    <t>b - vaak</t>
  </si>
  <si>
    <t>a - zeer laag, 25% of meer nog aanwezig</t>
  </si>
  <si>
    <t>c - gemiddeld, 5% tot 10% nog aanwezig</t>
  </si>
  <si>
    <t>b - laag, 10% tot 25% nog aanwezig</t>
  </si>
  <si>
    <t>d - hoog, 1% tot 5% nog aanwezig</t>
  </si>
  <si>
    <t>e - zeer hoog, minder dan 1% nog aanwezig</t>
  </si>
  <si>
    <t>3,2,b</t>
  </si>
  <si>
    <t>3,2,c</t>
  </si>
  <si>
    <t>e - neen</t>
  </si>
  <si>
    <t>3,2,d</t>
  </si>
  <si>
    <t>a - zeer negatieve gevolgen</t>
  </si>
  <si>
    <t>b - negatieve gevolgen</t>
  </si>
  <si>
    <t>c - gemiddelde gevolgen</t>
  </si>
  <si>
    <t>d - kleine gevolgen</t>
  </si>
  <si>
    <t>e - geen negatieve gevolgen</t>
  </si>
  <si>
    <t>a - gedurende 1 specifieke maand</t>
  </si>
  <si>
    <t>b - gedurende 1 tot 3 maanden</t>
  </si>
  <si>
    <t>d - gedurende 6 tot 9 maanden</t>
  </si>
  <si>
    <t>e - gedurende 9 maanden of meer</t>
  </si>
  <si>
    <t>c - gedurende 3 tot 6 maanden</t>
  </si>
  <si>
    <t>a - zeer klein draagvlak</t>
  </si>
  <si>
    <t>b - klein draagvlak</t>
  </si>
  <si>
    <t>c - matig draagvlak</t>
  </si>
  <si>
    <t>d - groot draagvlak</t>
  </si>
  <si>
    <t>e - zeer groot draagvlak</t>
  </si>
  <si>
    <t>5,1a</t>
  </si>
  <si>
    <t>a - met ontheffing beperkt</t>
  </si>
  <si>
    <t>b - met ontheffing overal</t>
  </si>
  <si>
    <t>c - zonder ontheffing bijna overal</t>
  </si>
  <si>
    <t>d - zonder ontheffing overal</t>
  </si>
  <si>
    <t>5,1,b</t>
  </si>
  <si>
    <t>a - neen</t>
  </si>
  <si>
    <t>b - gedeeltelijk</t>
  </si>
  <si>
    <t>c - ja</t>
  </si>
  <si>
    <t>a - zeer hoog</t>
  </si>
  <si>
    <t>b - hoog</t>
  </si>
  <si>
    <t>d - laag</t>
  </si>
  <si>
    <t>e - zeer laag</t>
  </si>
  <si>
    <t>a - over het hele gebied verspreid</t>
  </si>
  <si>
    <t>b - veel clusters</t>
  </si>
  <si>
    <t>c - matig aantal clusters</t>
  </si>
  <si>
    <t>d - beperkt aantal clusters</t>
  </si>
  <si>
    <t>e - 1 cluster</t>
  </si>
  <si>
    <t>1,5 - 3,2,a</t>
  </si>
  <si>
    <t>c - populatie groot, trage vermenigvuldiging</t>
  </si>
  <si>
    <t>d - populatie groot, snelle vermenigvuldiging</t>
  </si>
  <si>
    <t>a - zeer hoog, meer dan 2500 euro per ha (flora) of cluster (fauna)</t>
  </si>
  <si>
    <t>b - hoog, 2500 tot 1000 euro per ha (flora) of cluster (fauna)</t>
  </si>
  <si>
    <t>c - gemiddeld, 1000 tot 250 euro per ha (flora) of cluster (fauna)</t>
  </si>
  <si>
    <t>d - laag, 250 tot 100 euro per ha (flora) of cluster (fauna)</t>
  </si>
  <si>
    <t>e - zeer laag, minder dan 100 euro per ha (flora) of cluster (fauna)</t>
  </si>
  <si>
    <t>b - ja, een tweede soort mee beheerst</t>
  </si>
  <si>
    <t>c - neen</t>
  </si>
  <si>
    <t>a - ja, een tweede soort mee uitgeroeid</t>
  </si>
  <si>
    <t>deelvraag 1.1.b) herkenbaarheid tov gelijkende soorten</t>
  </si>
  <si>
    <t>deelvraag 1.1.a) waarneembaarheid</t>
  </si>
  <si>
    <t>binnen welk % van het gebied komt de soort voor</t>
  </si>
  <si>
    <t>maximale afstand tussen populaties</t>
  </si>
  <si>
    <t>hoeveel clusters komen er voor</t>
  </si>
  <si>
    <t>is de dichtheid groot tov normale dichtheden voor de soort</t>
  </si>
  <si>
    <t>hoe groot is de totale populatie in het gebied</t>
  </si>
  <si>
    <t>grootte van het gebied waar bestrijding dient te worden toegepast</t>
  </si>
  <si>
    <t>bereikbaarheid van het gebied/ deelgebieden waar bestrijding dient te worden toegepast</t>
  </si>
  <si>
    <t>kans op medewerking van gebiedseigenaars waar bestrijding dient te worden toegepast</t>
  </si>
  <si>
    <t>Deelvraag 2.4.a) reactietijd van de soort</t>
  </si>
  <si>
    <t>deelvraag 2.4.b) mogelijks te koloniseren habitat binnen het gebied</t>
  </si>
  <si>
    <t>deelvraag 2.5.b) interne factoren (vb zaadbank, larven…) weggenomen?</t>
  </si>
  <si>
    <t>deelvraag 2.5.c) soort aangeplant/verkocht of onbedoeld verspreid (meeliften)?</t>
  </si>
  <si>
    <t>Deelvraag 2.5.a) kans op herkolonisatie vanuit nabijgelegen gebieden</t>
  </si>
  <si>
    <t>hoe effectief is de methode, rekening houdend met een nazorgperiode van 5 jaar</t>
  </si>
  <si>
    <t>deelvraag 3.2.b) materiaalkosten, rekening houdend met nazorgperide van 5 jaar</t>
  </si>
  <si>
    <t>deelvraag 3.2.d) gelijktijdig bijkomende soort bestrijden?</t>
  </si>
  <si>
    <t>deelvraag 3.2.a) aantal mandagen, rekening houdend met nazorgperiode van 5 jaar (inclusief vrijwilligers, derden...)</t>
  </si>
  <si>
    <t>welke negatieve gevolgen zijn er door de ingreep voor het beheergebied?</t>
  </si>
  <si>
    <t>deelvraag 4.1.b) draagvlak bij de economische actoren</t>
  </si>
  <si>
    <t>deelvraag 4.2.b) draagvlak bij de economische actoren</t>
  </si>
  <si>
    <t>% betrouwbaar</t>
  </si>
  <si>
    <r>
      <t xml:space="preserve">Om de vragen op een correcte manier te kunnen beantwoorden is het belangrijk de </t>
    </r>
    <r>
      <rPr>
        <b/>
        <sz val="10"/>
        <rFont val="Calibri"/>
        <family val="2"/>
      </rPr>
      <t>bijhorende vragenlijst</t>
    </r>
    <r>
      <rPr>
        <sz val="10"/>
        <rFont val="Calibri"/>
        <family val="2"/>
      </rPr>
      <t xml:space="preserve"> aandachtig te lezen. Hierin worden de bijhorende vragen en mogelijke antwoorden vermeld.</t>
    </r>
  </si>
  <si>
    <t xml:space="preserve">Per invasieve soort kan de vragenlijst meerdere keren doorlopen worden, afhankelijk van de doelstelling (uitroeiien, beheersen) en de gebruikte middelen. </t>
  </si>
  <si>
    <r>
      <t xml:space="preserve">In de </t>
    </r>
    <r>
      <rPr>
        <b/>
        <sz val="10"/>
        <rFont val="Calibri"/>
        <family val="2"/>
      </rPr>
      <t>kolom "antwoord"</t>
    </r>
    <r>
      <rPr>
        <sz val="10"/>
        <rFont val="Calibri"/>
        <family val="2"/>
      </rPr>
      <t xml:space="preserve"> dienen alle gele velden ingevuld te worden.  De bijhorende scores worden vervolgens automatisch berekend.</t>
    </r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</si>
</sst>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right" wrapText="1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 vertical="top"/>
    </xf>
    <xf numFmtId="0" fontId="2" fillId="34" borderId="11" xfId="0" applyFont="1" applyFill="1" applyBorder="1" applyAlignment="1">
      <alignment horizontal="right"/>
    </xf>
    <xf numFmtId="0" fontId="3" fillId="34" borderId="19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0" borderId="15" xfId="0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3" fillId="34" borderId="19" xfId="0" applyFont="1" applyFill="1" applyBorder="1" applyAlignment="1">
      <alignment horizontal="right"/>
    </xf>
    <xf numFmtId="1" fontId="2" fillId="34" borderId="26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2" fillId="0" borderId="27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NumberFormat="1" applyFont="1" applyBorder="1" applyAlignment="1">
      <alignment/>
    </xf>
    <xf numFmtId="0" fontId="3" fillId="0" borderId="29" xfId="0" applyFont="1" applyBorder="1" applyAlignment="1">
      <alignment horizontal="right" wrapText="1"/>
    </xf>
    <xf numFmtId="0" fontId="2" fillId="0" borderId="26" xfId="0" applyFont="1" applyBorder="1" applyAlignment="1">
      <alignment horizontal="right" wrapText="1"/>
    </xf>
    <xf numFmtId="0" fontId="3" fillId="0" borderId="19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center" wrapText="1"/>
    </xf>
    <xf numFmtId="1" fontId="3" fillId="0" borderId="0" xfId="0" applyNumberFormat="1" applyFont="1" applyAlignment="1">
      <alignment horizontal="right"/>
    </xf>
    <xf numFmtId="1" fontId="3" fillId="36" borderId="26" xfId="0" applyNumberFormat="1" applyFont="1" applyFill="1" applyBorder="1" applyAlignment="1">
      <alignment horizontal="right"/>
    </xf>
    <xf numFmtId="0" fontId="3" fillId="0" borderId="15" xfId="0" applyFont="1" applyBorder="1" applyAlignment="1" applyProtection="1">
      <alignment horizontal="right" wrapText="1"/>
      <protection/>
    </xf>
    <xf numFmtId="0" fontId="3" fillId="0" borderId="18" xfId="0" applyFont="1" applyBorder="1" applyAlignment="1" applyProtection="1">
      <alignment horizontal="right" wrapText="1"/>
      <protection/>
    </xf>
    <xf numFmtId="0" fontId="2" fillId="0" borderId="26" xfId="0" applyFont="1" applyBorder="1" applyAlignment="1" applyProtection="1">
      <alignment horizontal="right" wrapText="1"/>
      <protection/>
    </xf>
    <xf numFmtId="0" fontId="3" fillId="37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37" borderId="38" xfId="0" applyNumberFormat="1" applyFont="1" applyFill="1" applyBorder="1" applyAlignment="1" applyProtection="1">
      <alignment/>
      <protection locked="0"/>
    </xf>
    <xf numFmtId="0" fontId="3" fillId="37" borderId="15" xfId="0" applyFont="1" applyFill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 horizontal="right"/>
      <protection locked="0"/>
    </xf>
    <xf numFmtId="0" fontId="3" fillId="37" borderId="18" xfId="0" applyFont="1" applyFill="1" applyBorder="1" applyAlignment="1" applyProtection="1">
      <alignment horizontal="right"/>
      <protection locked="0"/>
    </xf>
    <xf numFmtId="0" fontId="3" fillId="37" borderId="39" xfId="0" applyFont="1" applyFill="1" applyBorder="1" applyAlignment="1" applyProtection="1">
      <alignment wrapText="1"/>
      <protection locked="0"/>
    </xf>
    <xf numFmtId="0" fontId="3" fillId="0" borderId="0" xfId="0" applyNumberFormat="1" applyFont="1" applyAlignment="1" applyProtection="1">
      <alignment/>
      <protection locked="0"/>
    </xf>
    <xf numFmtId="0" fontId="3" fillId="0" borderId="19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3" fillId="38" borderId="11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38" borderId="19" xfId="0" applyFont="1" applyFill="1" applyBorder="1" applyAlignment="1">
      <alignment horizontal="center"/>
    </xf>
    <xf numFmtId="0" fontId="3" fillId="38" borderId="26" xfId="0" applyFont="1" applyFill="1" applyBorder="1" applyAlignment="1">
      <alignment horizontal="center"/>
    </xf>
    <xf numFmtId="0" fontId="3" fillId="39" borderId="0" xfId="0" applyFont="1" applyFill="1" applyAlignment="1">
      <alignment horizontal="right"/>
    </xf>
    <xf numFmtId="0" fontId="3" fillId="39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38" borderId="11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3" fillId="33" borderId="14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40" xfId="0" applyFont="1" applyFill="1" applyBorder="1" applyAlignment="1">
      <alignment/>
    </xf>
    <xf numFmtId="0" fontId="3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3" borderId="4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4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37" borderId="42" xfId="0" applyNumberFormat="1" applyFont="1" applyFill="1" applyBorder="1" applyAlignment="1" applyProtection="1">
      <alignment wrapText="1"/>
      <protection locked="0"/>
    </xf>
    <xf numFmtId="0" fontId="3" fillId="37" borderId="43" xfId="0" applyFont="1" applyFill="1" applyBorder="1" applyAlignment="1" applyProtection="1">
      <alignment wrapText="1"/>
      <protection locked="0"/>
    </xf>
    <xf numFmtId="0" fontId="3" fillId="37" borderId="44" xfId="0" applyFont="1" applyFill="1" applyBorder="1" applyAlignment="1" applyProtection="1">
      <alignment wrapText="1"/>
      <protection locked="0"/>
    </xf>
    <xf numFmtId="0" fontId="3" fillId="37" borderId="45" xfId="0" applyNumberFormat="1" applyFont="1" applyFill="1" applyBorder="1" applyAlignment="1" applyProtection="1">
      <alignment wrapText="1"/>
      <protection locked="0"/>
    </xf>
    <xf numFmtId="0" fontId="3" fillId="37" borderId="46" xfId="0" applyNumberFormat="1" applyFont="1" applyFill="1" applyBorder="1" applyAlignment="1" applyProtection="1">
      <alignment/>
      <protection locked="0"/>
    </xf>
    <xf numFmtId="0" fontId="0" fillId="37" borderId="47" xfId="0" applyFill="1" applyBorder="1" applyAlignment="1" applyProtection="1">
      <alignment/>
      <protection locked="0"/>
    </xf>
    <xf numFmtId="0" fontId="0" fillId="37" borderId="48" xfId="0" applyFill="1" applyBorder="1" applyAlignment="1" applyProtection="1">
      <alignment/>
      <protection locked="0"/>
    </xf>
    <xf numFmtId="0" fontId="3" fillId="37" borderId="49" xfId="0" applyNumberFormat="1" applyFont="1" applyFill="1" applyBorder="1" applyAlignment="1" applyProtection="1">
      <alignment/>
      <protection locked="0"/>
    </xf>
    <xf numFmtId="0" fontId="0" fillId="37" borderId="50" xfId="0" applyFill="1" applyBorder="1" applyAlignment="1" applyProtection="1">
      <alignment/>
      <protection locked="0"/>
    </xf>
    <xf numFmtId="0" fontId="0" fillId="37" borderId="51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30"/>
  <sheetViews>
    <sheetView tabSelected="1" zoomScalePageLayoutView="0" workbookViewId="0" topLeftCell="A1">
      <selection activeCell="A6" sqref="A6:H7"/>
    </sheetView>
  </sheetViews>
  <sheetFormatPr defaultColWidth="9.140625" defaultRowHeight="12.75"/>
  <cols>
    <col min="1" max="1" width="8.7109375" style="1" customWidth="1"/>
    <col min="2" max="2" width="94.8515625" style="2" bestFit="1" customWidth="1"/>
    <col min="3" max="3" width="21.8515625" style="3" customWidth="1"/>
    <col min="4" max="4" width="10.7109375" style="4" bestFit="1" customWidth="1"/>
    <col min="5" max="5" width="11.8515625" style="4" customWidth="1"/>
    <col min="6" max="6" width="8.7109375" style="4" customWidth="1"/>
    <col min="7" max="7" width="8.8515625" style="4" customWidth="1"/>
    <col min="8" max="8" width="15.421875" style="25" customWidth="1"/>
    <col min="9" max="9" width="14.28125" style="25" customWidth="1"/>
    <col min="10" max="10" width="5.57421875" style="25" customWidth="1"/>
    <col min="11" max="11" width="26.7109375" style="25" customWidth="1"/>
    <col min="12" max="12" width="10.57421875" style="25" customWidth="1"/>
    <col min="13" max="13" width="10.7109375" style="25" hidden="1" customWidth="1"/>
    <col min="14" max="14" width="7.140625" style="25" hidden="1" customWidth="1"/>
    <col min="15" max="15" width="5.00390625" style="25" hidden="1" customWidth="1"/>
    <col min="16" max="16" width="5.00390625" style="2" hidden="1" customWidth="1"/>
    <col min="17" max="17" width="12.8515625" style="2" hidden="1" customWidth="1"/>
    <col min="18" max="21" width="5.00390625" style="2" hidden="1" customWidth="1"/>
    <col min="22" max="16384" width="9.140625" style="2" customWidth="1"/>
  </cols>
  <sheetData>
    <row r="1" ht="13.5" thickBot="1"/>
    <row r="2" spans="1:15" ht="12.75">
      <c r="A2" s="23" t="s">
        <v>21</v>
      </c>
      <c r="B2" s="5"/>
      <c r="C2" s="6"/>
      <c r="D2" s="6"/>
      <c r="E2" s="6"/>
      <c r="F2" s="6"/>
      <c r="G2" s="6"/>
      <c r="H2" s="26"/>
      <c r="I2" s="51"/>
      <c r="J2" s="51"/>
      <c r="K2" s="51"/>
      <c r="L2" s="51"/>
      <c r="M2" s="51"/>
      <c r="N2" s="51"/>
      <c r="O2" s="51"/>
    </row>
    <row r="3" spans="1:15" ht="27" customHeight="1">
      <c r="A3" s="107" t="s">
        <v>176</v>
      </c>
      <c r="B3" s="108"/>
      <c r="C3" s="108"/>
      <c r="D3" s="108"/>
      <c r="E3" s="108"/>
      <c r="F3" s="108"/>
      <c r="G3" s="108"/>
      <c r="H3" s="109"/>
      <c r="I3" s="67"/>
      <c r="J3" s="67"/>
      <c r="K3" s="67"/>
      <c r="L3" s="67"/>
      <c r="M3" s="67"/>
      <c r="N3" s="67"/>
      <c r="O3" s="67"/>
    </row>
    <row r="4" spans="1:15" ht="38.25" customHeight="1">
      <c r="A4" s="107" t="s">
        <v>177</v>
      </c>
      <c r="B4" s="113"/>
      <c r="C4" s="113"/>
      <c r="D4" s="113"/>
      <c r="E4" s="113"/>
      <c r="F4" s="113"/>
      <c r="G4" s="113"/>
      <c r="H4" s="114"/>
      <c r="I4" s="67"/>
      <c r="J4" s="67"/>
      <c r="K4" s="67"/>
      <c r="L4" s="67"/>
      <c r="M4" s="67"/>
      <c r="N4" s="67"/>
      <c r="O4" s="67"/>
    </row>
    <row r="5" spans="1:15" ht="25.5" customHeight="1">
      <c r="A5" s="107" t="s">
        <v>178</v>
      </c>
      <c r="B5" s="108"/>
      <c r="C5" s="108"/>
      <c r="D5" s="108"/>
      <c r="E5" s="108"/>
      <c r="F5" s="108"/>
      <c r="G5" s="108"/>
      <c r="H5" s="109"/>
      <c r="I5" s="67"/>
      <c r="J5" s="67"/>
      <c r="K5" s="67"/>
      <c r="L5" s="67"/>
      <c r="M5" s="67"/>
      <c r="N5" s="67"/>
      <c r="O5" s="67"/>
    </row>
    <row r="6" spans="1:20" ht="12.75">
      <c r="A6" s="107" t="s">
        <v>22</v>
      </c>
      <c r="B6" s="108"/>
      <c r="C6" s="108"/>
      <c r="D6" s="108"/>
      <c r="E6" s="108"/>
      <c r="F6" s="108"/>
      <c r="G6" s="108"/>
      <c r="H6" s="109"/>
      <c r="I6" s="67"/>
      <c r="J6" s="67"/>
      <c r="K6" s="67"/>
      <c r="L6" s="67"/>
      <c r="M6" s="67"/>
      <c r="N6" s="67"/>
      <c r="O6" s="67"/>
      <c r="S6" s="2" t="s">
        <v>48</v>
      </c>
      <c r="T6" s="2" t="s">
        <v>49</v>
      </c>
    </row>
    <row r="7" spans="1:20" ht="13.5" thickBot="1">
      <c r="A7" s="110"/>
      <c r="B7" s="111"/>
      <c r="C7" s="111"/>
      <c r="D7" s="111"/>
      <c r="E7" s="111"/>
      <c r="F7" s="111"/>
      <c r="G7" s="111"/>
      <c r="H7" s="112"/>
      <c r="I7" s="67"/>
      <c r="J7" s="67"/>
      <c r="K7" s="67"/>
      <c r="L7" s="67"/>
      <c r="M7" s="67"/>
      <c r="N7" s="67"/>
      <c r="O7" s="67"/>
      <c r="T7" s="2" t="s">
        <v>50</v>
      </c>
    </row>
    <row r="8" spans="9:20" ht="13.5" thickBot="1">
      <c r="I8" s="27"/>
      <c r="J8" s="27"/>
      <c r="K8" s="27"/>
      <c r="L8" s="27"/>
      <c r="M8" s="27"/>
      <c r="N8" s="27"/>
      <c r="O8" s="27"/>
      <c r="T8" s="2" t="s">
        <v>51</v>
      </c>
    </row>
    <row r="9" spans="2:20" ht="12.75">
      <c r="B9" s="31" t="s">
        <v>31</v>
      </c>
      <c r="C9" s="120"/>
      <c r="D9" s="121"/>
      <c r="E9" s="121"/>
      <c r="F9" s="121"/>
      <c r="G9" s="121"/>
      <c r="H9" s="122"/>
      <c r="I9" s="68"/>
      <c r="J9" s="68"/>
      <c r="K9" s="68"/>
      <c r="L9" s="68"/>
      <c r="M9" s="68"/>
      <c r="N9" s="68"/>
      <c r="O9" s="68"/>
      <c r="T9" s="2" t="s">
        <v>52</v>
      </c>
    </row>
    <row r="10" spans="2:20" ht="13.5" thickBot="1">
      <c r="B10" s="32" t="s">
        <v>32</v>
      </c>
      <c r="C10" s="123"/>
      <c r="D10" s="124"/>
      <c r="E10" s="124"/>
      <c r="F10" s="124"/>
      <c r="G10" s="124"/>
      <c r="H10" s="125"/>
      <c r="I10" s="68"/>
      <c r="J10" s="68"/>
      <c r="K10" s="68"/>
      <c r="L10" s="68"/>
      <c r="M10" s="68"/>
      <c r="N10" s="68"/>
      <c r="O10" s="68"/>
      <c r="T10" s="2" t="s">
        <v>53</v>
      </c>
    </row>
    <row r="12" spans="19:20" ht="12.75">
      <c r="S12" s="2" t="s">
        <v>54</v>
      </c>
      <c r="T12" s="2" t="s">
        <v>55</v>
      </c>
    </row>
    <row r="13" ht="12.75">
      <c r="T13" s="2" t="s">
        <v>50</v>
      </c>
    </row>
    <row r="14" ht="13.5" thickBot="1">
      <c r="T14" s="2" t="s">
        <v>56</v>
      </c>
    </row>
    <row r="15" spans="3:20" ht="26.25" thickBot="1">
      <c r="C15" s="7" t="s">
        <v>20</v>
      </c>
      <c r="D15" s="8" t="s">
        <v>30</v>
      </c>
      <c r="E15" s="8" t="s">
        <v>38</v>
      </c>
      <c r="F15" s="8" t="s">
        <v>39</v>
      </c>
      <c r="G15" s="53" t="s">
        <v>40</v>
      </c>
      <c r="H15" s="56" t="s">
        <v>41</v>
      </c>
      <c r="I15" s="37" t="s">
        <v>42</v>
      </c>
      <c r="J15" s="69"/>
      <c r="K15" s="69"/>
      <c r="L15" s="69"/>
      <c r="M15" s="69"/>
      <c r="N15" s="69"/>
      <c r="O15" s="69"/>
      <c r="T15" s="2" t="s">
        <v>66</v>
      </c>
    </row>
    <row r="16" spans="1:17" ht="13.5" thickBot="1">
      <c r="A16" s="39" t="s">
        <v>0</v>
      </c>
      <c r="B16" s="40"/>
      <c r="C16" s="41"/>
      <c r="D16" s="44"/>
      <c r="E16" s="45">
        <v>25</v>
      </c>
      <c r="F16" s="38"/>
      <c r="G16" s="9"/>
      <c r="H16" s="57"/>
      <c r="I16" s="28"/>
      <c r="J16" s="51"/>
      <c r="K16" s="51"/>
      <c r="L16" s="51"/>
      <c r="M16" s="51"/>
      <c r="N16" s="51"/>
      <c r="O16" s="51"/>
      <c r="Q16" s="2" t="s">
        <v>16</v>
      </c>
    </row>
    <row r="17" spans="1:20" ht="12.75">
      <c r="A17" s="10" t="s">
        <v>1</v>
      </c>
      <c r="B17" s="11"/>
      <c r="C17" s="12"/>
      <c r="D17" s="13"/>
      <c r="E17" s="13"/>
      <c r="F17" s="13"/>
      <c r="G17" s="13"/>
      <c r="H17" s="58"/>
      <c r="I17" s="28"/>
      <c r="J17" s="51"/>
      <c r="K17" s="51"/>
      <c r="L17" s="51"/>
      <c r="M17" s="51"/>
      <c r="N17" s="51"/>
      <c r="O17" s="51"/>
      <c r="Q17" s="2" t="s">
        <v>17</v>
      </c>
      <c r="S17" s="2">
        <v>1.2</v>
      </c>
      <c r="T17" s="2" t="s">
        <v>57</v>
      </c>
    </row>
    <row r="18" spans="1:20" ht="12.75">
      <c r="A18" s="10"/>
      <c r="B18" s="11" t="s">
        <v>154</v>
      </c>
      <c r="C18" s="81" t="s">
        <v>50</v>
      </c>
      <c r="D18" s="14">
        <f>IF(C18="a - heel moeilijk",0,IF(C18="b - moeilijk",0.25,IF(C18="c - matig",0.5,IF(C18="d - gemakkelijk",0.75,IF(C18="e - heel gemakkelijk",1,0)))))</f>
        <v>0.25</v>
      </c>
      <c r="E18" s="14">
        <v>5</v>
      </c>
      <c r="F18" s="14">
        <f>D18*E18</f>
        <v>1.25</v>
      </c>
      <c r="G18" s="85" t="s">
        <v>18</v>
      </c>
      <c r="H18" s="59">
        <f>IF(G18="laag",0,IF(G18="matig",1/3,IF(G18="hoog",1/3*2,IF(G18="zeer hoog",1,0))))</f>
        <v>0.6666666666666666</v>
      </c>
      <c r="I18" s="29">
        <f>H18*E18</f>
        <v>3.333333333333333</v>
      </c>
      <c r="J18" s="52"/>
      <c r="K18" s="52"/>
      <c r="L18" s="52"/>
      <c r="M18" s="52"/>
      <c r="N18" s="52"/>
      <c r="O18" s="52"/>
      <c r="Q18" s="2" t="s">
        <v>18</v>
      </c>
      <c r="T18" s="2" t="s">
        <v>58</v>
      </c>
    </row>
    <row r="19" spans="1:20" ht="12.75">
      <c r="A19" s="10"/>
      <c r="B19" s="11" t="s">
        <v>153</v>
      </c>
      <c r="C19" s="81" t="s">
        <v>56</v>
      </c>
      <c r="D19" s="14">
        <f>IF(C19="a - niet of nauwelijks",0,IF(C19="b - moeilijk",1/3,IF(C19="c - relatief gemakkelijk",1/3*2,IF(C19="d - onmiskenbaar",1,0))))</f>
        <v>0.6666666666666666</v>
      </c>
      <c r="E19" s="14">
        <v>5</v>
      </c>
      <c r="F19" s="14">
        <f aca="true" t="shared" si="0" ref="F19:F44">D19*E19</f>
        <v>3.333333333333333</v>
      </c>
      <c r="G19" s="85" t="s">
        <v>16</v>
      </c>
      <c r="H19" s="59">
        <f aca="true" t="shared" si="1" ref="H19:H29">IF(G19="laag",0,IF(G19="matig",1/3,IF(G19="hoog",1/3*2,IF(G19="zeer hoog",1,0))))</f>
        <v>0</v>
      </c>
      <c r="I19" s="29">
        <f aca="true" t="shared" si="2" ref="I19:I44">H19*E19</f>
        <v>0</v>
      </c>
      <c r="J19" s="52"/>
      <c r="K19" s="52"/>
      <c r="L19" s="52"/>
      <c r="M19" s="52"/>
      <c r="N19" s="52"/>
      <c r="O19" s="52"/>
      <c r="Q19" s="2" t="s">
        <v>19</v>
      </c>
      <c r="T19" s="2" t="s">
        <v>59</v>
      </c>
    </row>
    <row r="20" spans="1:20" ht="12.75">
      <c r="A20" s="10" t="s">
        <v>23</v>
      </c>
      <c r="B20" s="11"/>
      <c r="C20" s="82"/>
      <c r="D20" s="14"/>
      <c r="E20" s="14"/>
      <c r="F20" s="14"/>
      <c r="G20" s="86"/>
      <c r="H20" s="59"/>
      <c r="I20" s="29"/>
      <c r="J20" s="52"/>
      <c r="K20" s="52"/>
      <c r="L20" s="52"/>
      <c r="M20" s="52"/>
      <c r="N20" s="52"/>
      <c r="O20" s="52"/>
      <c r="T20" s="2" t="s">
        <v>60</v>
      </c>
    </row>
    <row r="21" spans="1:15" ht="12.75">
      <c r="A21" s="10"/>
      <c r="B21" s="11" t="s">
        <v>155</v>
      </c>
      <c r="C21" s="81" t="s">
        <v>58</v>
      </c>
      <c r="D21" s="14">
        <f>IF(C21="a - 75% of meer",0,IF(C21="b - van 50% tot 75%",1/3,IF(C21="c - van 25% tot en met 50%",1/3*2,IF(C21="d - minder dan 25%",1,0))))</f>
        <v>0.3333333333333333</v>
      </c>
      <c r="E21" s="14">
        <v>20</v>
      </c>
      <c r="F21" s="14">
        <f t="shared" si="0"/>
        <v>6.666666666666666</v>
      </c>
      <c r="G21" s="85" t="s">
        <v>19</v>
      </c>
      <c r="H21" s="59">
        <f t="shared" si="1"/>
        <v>1</v>
      </c>
      <c r="I21" s="29">
        <f t="shared" si="2"/>
        <v>20</v>
      </c>
      <c r="J21" s="52"/>
      <c r="K21" s="52"/>
      <c r="L21" s="52"/>
      <c r="M21" s="52"/>
      <c r="N21" s="52"/>
      <c r="O21" s="52"/>
    </row>
    <row r="22" spans="1:20" ht="12.75">
      <c r="A22" s="10" t="s">
        <v>46</v>
      </c>
      <c r="B22" s="11"/>
      <c r="C22" s="83"/>
      <c r="D22" s="24"/>
      <c r="E22" s="24"/>
      <c r="F22" s="14"/>
      <c r="G22" s="87"/>
      <c r="H22" s="59"/>
      <c r="I22" s="29"/>
      <c r="J22" s="52"/>
      <c r="K22" s="52"/>
      <c r="L22" s="52"/>
      <c r="M22" s="52"/>
      <c r="N22" s="52"/>
      <c r="O22" s="52"/>
      <c r="S22" s="2" t="s">
        <v>65</v>
      </c>
      <c r="T22" s="2" t="s">
        <v>61</v>
      </c>
    </row>
    <row r="23" spans="1:20" ht="12.75">
      <c r="A23" s="10"/>
      <c r="B23" s="11" t="s">
        <v>156</v>
      </c>
      <c r="C23" s="81" t="s">
        <v>51</v>
      </c>
      <c r="D23" s="14">
        <f>IF(C23="a - zeer groot",0,IF(C23="b - groot",0.25,IF(C23="c - matig",0.5,IF(C23="d - klein",0.75,IF(C23="e - zeer klein",1,0)))))</f>
        <v>0.5</v>
      </c>
      <c r="E23" s="14">
        <v>10</v>
      </c>
      <c r="F23" s="14">
        <f t="shared" si="0"/>
        <v>5</v>
      </c>
      <c r="G23" s="85" t="s">
        <v>19</v>
      </c>
      <c r="H23" s="59">
        <f t="shared" si="1"/>
        <v>1</v>
      </c>
      <c r="I23" s="29">
        <f t="shared" si="2"/>
        <v>10</v>
      </c>
      <c r="J23" s="52"/>
      <c r="K23" s="52"/>
      <c r="L23" s="52"/>
      <c r="M23" s="52"/>
      <c r="N23" s="52"/>
      <c r="O23" s="52"/>
      <c r="T23" s="2" t="s">
        <v>67</v>
      </c>
    </row>
    <row r="24" spans="1:20" ht="12.75">
      <c r="A24" s="10" t="s">
        <v>26</v>
      </c>
      <c r="B24" s="11"/>
      <c r="C24" s="83"/>
      <c r="D24" s="24"/>
      <c r="E24" s="24"/>
      <c r="F24" s="14"/>
      <c r="G24" s="87"/>
      <c r="H24" s="59"/>
      <c r="I24" s="29"/>
      <c r="J24" s="52"/>
      <c r="K24" s="52"/>
      <c r="L24" s="52"/>
      <c r="M24" s="70">
        <f>N24*O24*P24</f>
        <v>0</v>
      </c>
      <c r="N24" s="70">
        <f>E16</f>
        <v>25</v>
      </c>
      <c r="O24" s="52">
        <f>E18</f>
        <v>5</v>
      </c>
      <c r="P24" s="2" t="str">
        <f>IF(Q24=0,"1","0")</f>
        <v>0</v>
      </c>
      <c r="Q24" s="46" t="str">
        <f>C18</f>
        <v>b - moeilijk</v>
      </c>
      <c r="T24" s="2" t="s">
        <v>51</v>
      </c>
    </row>
    <row r="25" spans="1:20" ht="12.75">
      <c r="A25" s="10"/>
      <c r="B25" s="11" t="s">
        <v>157</v>
      </c>
      <c r="C25" s="81" t="s">
        <v>140</v>
      </c>
      <c r="D25" s="14">
        <f>IF(C25="a - over het hele gebied verspreid",0,IF(C25="b - veel clusters",0.25,IF(C25="c - matig aantal clusters",0.5,IF(C25="d - beperkt aantal clusters",0.75,IF(C25="e - 1 cluster",1,0)))))</f>
        <v>0.75</v>
      </c>
      <c r="E25" s="14">
        <v>20</v>
      </c>
      <c r="F25" s="14">
        <f t="shared" si="0"/>
        <v>15</v>
      </c>
      <c r="G25" s="85" t="s">
        <v>19</v>
      </c>
      <c r="H25" s="59">
        <f t="shared" si="1"/>
        <v>1</v>
      </c>
      <c r="I25" s="29">
        <f t="shared" si="2"/>
        <v>20</v>
      </c>
      <c r="J25" s="52"/>
      <c r="K25" s="52"/>
      <c r="L25" s="52"/>
      <c r="M25" s="70">
        <f aca="true" t="shared" si="3" ref="M25:M50">N25*O25*P25</f>
        <v>0</v>
      </c>
      <c r="N25" s="70">
        <f>E16</f>
        <v>25</v>
      </c>
      <c r="O25" s="52">
        <f>E19</f>
        <v>5</v>
      </c>
      <c r="P25" s="2" t="str">
        <f aca="true" t="shared" si="4" ref="P25:P51">IF(Q25=0,"1","0")</f>
        <v>0</v>
      </c>
      <c r="Q25" s="47" t="str">
        <f>C19</f>
        <v>c - relatief gemakkelijk</v>
      </c>
      <c r="T25" s="2" t="s">
        <v>62</v>
      </c>
    </row>
    <row r="26" spans="1:20" ht="12.75">
      <c r="A26" s="10" t="s">
        <v>27</v>
      </c>
      <c r="B26" s="11"/>
      <c r="C26" s="82"/>
      <c r="D26" s="14"/>
      <c r="E26" s="14"/>
      <c r="F26" s="14"/>
      <c r="G26" s="86"/>
      <c r="H26" s="59"/>
      <c r="I26" s="29"/>
      <c r="J26" s="52"/>
      <c r="K26" s="52"/>
      <c r="L26" s="52"/>
      <c r="M26" s="70">
        <f>N26*O26*P26</f>
        <v>0</v>
      </c>
      <c r="N26" s="70">
        <f>E16</f>
        <v>25</v>
      </c>
      <c r="O26" s="52">
        <f>E21</f>
        <v>20</v>
      </c>
      <c r="P26" s="2" t="str">
        <f t="shared" si="4"/>
        <v>0</v>
      </c>
      <c r="Q26" s="47" t="str">
        <f>C21</f>
        <v>b - van 50% tot 75%</v>
      </c>
      <c r="T26" s="2" t="s">
        <v>63</v>
      </c>
    </row>
    <row r="27" spans="1:17" ht="12.75">
      <c r="A27" s="10"/>
      <c r="B27" s="11" t="s">
        <v>158</v>
      </c>
      <c r="C27" s="81" t="s">
        <v>135</v>
      </c>
      <c r="D27" s="14">
        <f>IF(C27="a - zeer hoog",0,IF(C27="b - hoog",0.25,IF(C27="c - matig",0.5,IF(C27="d - laag",0.75,IF(C27="e - zeer laag",1,0)))))</f>
        <v>0.75</v>
      </c>
      <c r="E27" s="14">
        <v>20</v>
      </c>
      <c r="F27" s="14">
        <f t="shared" si="0"/>
        <v>15</v>
      </c>
      <c r="G27" s="85" t="s">
        <v>19</v>
      </c>
      <c r="H27" s="59">
        <f t="shared" si="1"/>
        <v>1</v>
      </c>
      <c r="I27" s="29">
        <f t="shared" si="2"/>
        <v>20</v>
      </c>
      <c r="J27" s="52"/>
      <c r="K27" s="52"/>
      <c r="L27" s="52"/>
      <c r="M27" s="70">
        <f t="shared" si="3"/>
        <v>0</v>
      </c>
      <c r="N27" s="70">
        <f>E16</f>
        <v>25</v>
      </c>
      <c r="O27" s="52">
        <f>E23</f>
        <v>10</v>
      </c>
      <c r="P27" s="2" t="str">
        <f t="shared" si="4"/>
        <v>0</v>
      </c>
      <c r="Q27" s="47" t="str">
        <f>C23</f>
        <v>c - matig</v>
      </c>
    </row>
    <row r="28" spans="1:20" ht="12.75">
      <c r="A28" s="10" t="s">
        <v>28</v>
      </c>
      <c r="B28" s="11"/>
      <c r="C28" s="82"/>
      <c r="D28" s="14"/>
      <c r="E28" s="14"/>
      <c r="F28" s="14"/>
      <c r="G28" s="86"/>
      <c r="H28" s="59"/>
      <c r="I28" s="29"/>
      <c r="J28" s="52"/>
      <c r="K28" s="52"/>
      <c r="L28" s="52"/>
      <c r="M28" s="70">
        <f t="shared" si="3"/>
        <v>0</v>
      </c>
      <c r="N28" s="70">
        <f>E16</f>
        <v>25</v>
      </c>
      <c r="O28" s="52">
        <f>E25</f>
        <v>20</v>
      </c>
      <c r="P28" s="2" t="str">
        <f t="shared" si="4"/>
        <v>0</v>
      </c>
      <c r="Q28" s="47" t="str">
        <f>C25</f>
        <v>d - beperkt aantal clusters</v>
      </c>
      <c r="S28" s="2">
        <v>1.4</v>
      </c>
      <c r="T28" s="2" t="s">
        <v>137</v>
      </c>
    </row>
    <row r="29" spans="1:20" ht="13.5" thickBot="1">
      <c r="A29" s="15"/>
      <c r="B29" s="16" t="s">
        <v>159</v>
      </c>
      <c r="C29" s="84" t="s">
        <v>62</v>
      </c>
      <c r="D29" s="17">
        <f>IF(C29="a - zeer groot",0,IF(C29="b - groot",0.25,IF(C29="c - matig",0.5,IF(C29="d - klein",0.75,IF(C29="e - zeer klein",1,0)))))</f>
        <v>0.75</v>
      </c>
      <c r="E29" s="17">
        <v>20</v>
      </c>
      <c r="F29" s="14">
        <f t="shared" si="0"/>
        <v>15</v>
      </c>
      <c r="G29" s="88" t="s">
        <v>19</v>
      </c>
      <c r="H29" s="60">
        <f t="shared" si="1"/>
        <v>1</v>
      </c>
      <c r="I29" s="30">
        <f t="shared" si="2"/>
        <v>20</v>
      </c>
      <c r="J29" s="52"/>
      <c r="K29" s="52"/>
      <c r="L29" s="52"/>
      <c r="M29" s="70">
        <f t="shared" si="3"/>
        <v>0</v>
      </c>
      <c r="N29" s="70">
        <f>E16</f>
        <v>25</v>
      </c>
      <c r="O29" s="52">
        <f>E27</f>
        <v>20</v>
      </c>
      <c r="P29" s="2" t="str">
        <f t="shared" si="4"/>
        <v>0</v>
      </c>
      <c r="Q29" s="47" t="str">
        <f>C27</f>
        <v>d - laag</v>
      </c>
      <c r="T29" s="2" t="s">
        <v>138</v>
      </c>
    </row>
    <row r="30" spans="4:20" ht="13.5" thickBot="1">
      <c r="D30" s="18"/>
      <c r="E30" s="18"/>
      <c r="F30" s="36"/>
      <c r="H30" s="27"/>
      <c r="I30" s="52"/>
      <c r="J30" s="52"/>
      <c r="K30" s="52"/>
      <c r="L30" s="52"/>
      <c r="M30" s="70">
        <f t="shared" si="3"/>
        <v>0</v>
      </c>
      <c r="N30" s="70">
        <f>E16</f>
        <v>25</v>
      </c>
      <c r="O30" s="52">
        <f>E29</f>
        <v>20</v>
      </c>
      <c r="P30" s="2" t="str">
        <f t="shared" si="4"/>
        <v>0</v>
      </c>
      <c r="Q30" s="47" t="str">
        <f>C29</f>
        <v>d - klein</v>
      </c>
      <c r="T30" s="2" t="s">
        <v>139</v>
      </c>
    </row>
    <row r="31" spans="1:20" ht="13.5" thickBot="1">
      <c r="A31" s="39" t="s">
        <v>2</v>
      </c>
      <c r="B31" s="40"/>
      <c r="C31" s="41"/>
      <c r="D31" s="36"/>
      <c r="E31" s="43">
        <v>25</v>
      </c>
      <c r="F31" s="42"/>
      <c r="G31" s="9"/>
      <c r="H31" s="57"/>
      <c r="I31" s="63"/>
      <c r="J31" s="52"/>
      <c r="K31" s="52"/>
      <c r="L31" s="52"/>
      <c r="M31" s="70">
        <f t="shared" si="3"/>
        <v>0</v>
      </c>
      <c r="N31" s="70">
        <f>E31</f>
        <v>25</v>
      </c>
      <c r="O31" s="52">
        <v>25</v>
      </c>
      <c r="P31" s="2" t="str">
        <f t="shared" si="4"/>
        <v>0</v>
      </c>
      <c r="Q31" s="47" t="str">
        <f>C33</f>
        <v>a - zeer groot</v>
      </c>
      <c r="T31" s="2" t="s">
        <v>140</v>
      </c>
    </row>
    <row r="32" spans="1:20" ht="12.75">
      <c r="A32" s="10" t="s">
        <v>3</v>
      </c>
      <c r="B32" s="11"/>
      <c r="C32" s="12"/>
      <c r="D32" s="14"/>
      <c r="E32" s="14"/>
      <c r="F32" s="14"/>
      <c r="G32" s="13"/>
      <c r="H32" s="58"/>
      <c r="I32" s="29"/>
      <c r="J32" s="52"/>
      <c r="K32" s="52"/>
      <c r="L32" s="52"/>
      <c r="M32" s="70">
        <f t="shared" si="3"/>
        <v>0</v>
      </c>
      <c r="N32" s="70">
        <f>E31</f>
        <v>25</v>
      </c>
      <c r="O32" s="52">
        <f>E35</f>
        <v>10</v>
      </c>
      <c r="P32" s="2" t="str">
        <f t="shared" si="4"/>
        <v>0</v>
      </c>
      <c r="Q32" s="47" t="str">
        <f>C35</f>
        <v>a - niet bereikbaar</v>
      </c>
      <c r="T32" s="2" t="s">
        <v>141</v>
      </c>
    </row>
    <row r="33" spans="1:17" ht="12.75">
      <c r="A33" s="10"/>
      <c r="B33" s="11" t="s">
        <v>160</v>
      </c>
      <c r="C33" s="81" t="s">
        <v>61</v>
      </c>
      <c r="D33" s="14">
        <f>IF(C33="a - zeer groot",0,IF(C33="b - groot",0.25,IF(C33="c - matig",0.5,IF(C33="d - klein",0.75,IF(C33="e - zeer klein",1,0)))))</f>
        <v>0</v>
      </c>
      <c r="E33" s="14">
        <v>25</v>
      </c>
      <c r="F33" s="14">
        <f t="shared" si="0"/>
        <v>0</v>
      </c>
      <c r="G33" s="85" t="s">
        <v>19</v>
      </c>
      <c r="H33" s="59">
        <f aca="true" t="shared" si="5" ref="H33:H44">IF(G33="laag",0,IF(G33="matig",1/3,IF(G33="hoog",1/3*2,IF(G33="zeer hoog",1,0))))</f>
        <v>1</v>
      </c>
      <c r="I33" s="29">
        <f t="shared" si="2"/>
        <v>25</v>
      </c>
      <c r="J33" s="52"/>
      <c r="K33" s="52"/>
      <c r="L33" s="52"/>
      <c r="M33" s="70">
        <f t="shared" si="3"/>
        <v>0</v>
      </c>
      <c r="N33" s="70">
        <f>E31</f>
        <v>25</v>
      </c>
      <c r="O33" s="52">
        <f>E37</f>
        <v>15</v>
      </c>
      <c r="P33" s="2" t="str">
        <f t="shared" si="4"/>
        <v>0</v>
      </c>
      <c r="Q33" s="47" t="str">
        <f>C37</f>
        <v>d - grote kans</v>
      </c>
    </row>
    <row r="34" spans="1:20" ht="12.75">
      <c r="A34" s="10" t="s">
        <v>47</v>
      </c>
      <c r="B34" s="11"/>
      <c r="C34" s="82"/>
      <c r="D34" s="14"/>
      <c r="E34" s="14"/>
      <c r="F34" s="14"/>
      <c r="G34" s="86"/>
      <c r="H34" s="59"/>
      <c r="I34" s="29"/>
      <c r="J34" s="52"/>
      <c r="K34" s="52"/>
      <c r="L34" s="52"/>
      <c r="M34" s="70">
        <f t="shared" si="3"/>
        <v>0</v>
      </c>
      <c r="N34" s="70">
        <f>E31</f>
        <v>25</v>
      </c>
      <c r="O34" s="52">
        <f>E39</f>
        <v>12.5</v>
      </c>
      <c r="P34" s="2" t="str">
        <f t="shared" si="4"/>
        <v>0</v>
      </c>
      <c r="Q34" s="47" t="str">
        <f>C39</f>
        <v>d - populatie groot, snelle vermenigvuldiging</v>
      </c>
      <c r="S34" s="2" t="s">
        <v>142</v>
      </c>
      <c r="T34" s="2" t="s">
        <v>133</v>
      </c>
    </row>
    <row r="35" spans="1:20" ht="12.75">
      <c r="A35" s="10"/>
      <c r="B35" s="11" t="s">
        <v>161</v>
      </c>
      <c r="C35" s="81" t="s">
        <v>68</v>
      </c>
      <c r="D35" s="14">
        <f>IF(C35="a - niet bereikbaar",0,IF(C35="b - weinig bereikbaar",0.25,IF(C35="c - gemiddeld bereikbaar",0.5,IF(C35="d - goed bereikbaar",0.75,IF(C35="e - zeer goed bereikbaar",1,0)))))</f>
        <v>0</v>
      </c>
      <c r="E35" s="14">
        <v>10</v>
      </c>
      <c r="F35" s="14">
        <f t="shared" si="0"/>
        <v>0</v>
      </c>
      <c r="G35" s="85" t="s">
        <v>19</v>
      </c>
      <c r="H35" s="59">
        <f t="shared" si="5"/>
        <v>1</v>
      </c>
      <c r="I35" s="29">
        <f t="shared" si="2"/>
        <v>10</v>
      </c>
      <c r="J35" s="52"/>
      <c r="K35" s="52"/>
      <c r="L35" s="52"/>
      <c r="M35" s="70">
        <f t="shared" si="3"/>
        <v>0</v>
      </c>
      <c r="N35" s="70">
        <f>E31</f>
        <v>25</v>
      </c>
      <c r="O35" s="52">
        <f>E40</f>
        <v>12.5</v>
      </c>
      <c r="P35" s="2" t="str">
        <f t="shared" si="4"/>
        <v>0</v>
      </c>
      <c r="Q35" s="47" t="str">
        <f>C40</f>
        <v>b - 25% tot 50%</v>
      </c>
      <c r="T35" s="2" t="s">
        <v>134</v>
      </c>
    </row>
    <row r="36" spans="1:20" ht="12.75">
      <c r="A36" s="10" t="s">
        <v>4</v>
      </c>
      <c r="B36" s="11"/>
      <c r="C36" s="82"/>
      <c r="D36" s="14"/>
      <c r="E36" s="14"/>
      <c r="F36" s="14"/>
      <c r="G36" s="86"/>
      <c r="H36" s="59"/>
      <c r="I36" s="29"/>
      <c r="J36" s="52"/>
      <c r="K36" s="52"/>
      <c r="L36" s="52"/>
      <c r="M36" s="70">
        <f t="shared" si="3"/>
        <v>0</v>
      </c>
      <c r="N36" s="70">
        <f>E31</f>
        <v>25</v>
      </c>
      <c r="O36" s="52">
        <f>E42</f>
        <v>10</v>
      </c>
      <c r="P36" s="2" t="str">
        <f t="shared" si="4"/>
        <v>0</v>
      </c>
      <c r="Q36" s="47" t="str">
        <f>C42</f>
        <v>a - meer dan 70%</v>
      </c>
      <c r="T36" s="2" t="s">
        <v>51</v>
      </c>
    </row>
    <row r="37" spans="1:20" ht="12.75">
      <c r="A37" s="10"/>
      <c r="B37" s="11" t="s">
        <v>162</v>
      </c>
      <c r="C37" s="81" t="s">
        <v>76</v>
      </c>
      <c r="D37" s="14">
        <f>IF(C37="a - zeer kleine kans",0,IF(C37="b - kleine kans",0.25,IF(C37="c - matige kans",0.5,IF(C37="d - grote kans",0.75,IF(C37="e - zeer grote kans",1,0)))))</f>
        <v>0.75</v>
      </c>
      <c r="E37" s="14">
        <v>15</v>
      </c>
      <c r="F37" s="14">
        <f t="shared" si="0"/>
        <v>11.25</v>
      </c>
      <c r="G37" s="85" t="s">
        <v>19</v>
      </c>
      <c r="H37" s="59">
        <f t="shared" si="5"/>
        <v>1</v>
      </c>
      <c r="I37" s="29">
        <f t="shared" si="2"/>
        <v>15</v>
      </c>
      <c r="J37" s="52"/>
      <c r="K37" s="52"/>
      <c r="L37" s="52"/>
      <c r="M37" s="70">
        <f t="shared" si="3"/>
        <v>0</v>
      </c>
      <c r="N37" s="70">
        <f>E31</f>
        <v>25</v>
      </c>
      <c r="O37" s="52">
        <f>E43</f>
        <v>7.5</v>
      </c>
      <c r="P37" s="2" t="str">
        <f t="shared" si="4"/>
        <v>0</v>
      </c>
      <c r="Q37" s="47" t="str">
        <f>C43</f>
        <v>a - ja</v>
      </c>
      <c r="T37" s="2" t="s">
        <v>135</v>
      </c>
    </row>
    <row r="38" spans="1:20" ht="12.75">
      <c r="A38" s="10" t="s">
        <v>5</v>
      </c>
      <c r="B38" s="11"/>
      <c r="C38" s="82"/>
      <c r="D38" s="14"/>
      <c r="E38" s="14"/>
      <c r="F38" s="14"/>
      <c r="G38" s="86"/>
      <c r="H38" s="59"/>
      <c r="I38" s="29"/>
      <c r="J38" s="52"/>
      <c r="K38" s="52"/>
      <c r="L38" s="52"/>
      <c r="M38" s="70">
        <f t="shared" si="3"/>
        <v>0</v>
      </c>
      <c r="N38" s="70">
        <f>E31</f>
        <v>25</v>
      </c>
      <c r="O38" s="52">
        <f>E44</f>
        <v>7.5</v>
      </c>
      <c r="P38" s="2" t="str">
        <f t="shared" si="4"/>
        <v>0</v>
      </c>
      <c r="Q38" s="47" t="str">
        <f>C44</f>
        <v>a - heel vaak</v>
      </c>
      <c r="T38" s="2" t="s">
        <v>136</v>
      </c>
    </row>
    <row r="39" spans="1:17" ht="12.75">
      <c r="A39" s="10"/>
      <c r="B39" s="11" t="s">
        <v>163</v>
      </c>
      <c r="C39" s="81" t="s">
        <v>144</v>
      </c>
      <c r="D39" s="14">
        <f>IF(C39="a - populatie beperkt, trage vermenigvuldiging",0,IF(C39="b - populatie groot, trage vermenigvuldiging",0.25,IF(C39="c - populatie beperkt, snelle vermenigvuldiging",0.75,IF(C39="d - populatie groot, snelle vermenigvuldiging",1,0))))</f>
        <v>1</v>
      </c>
      <c r="E39" s="14">
        <v>12.5</v>
      </c>
      <c r="F39" s="14">
        <f t="shared" si="0"/>
        <v>12.5</v>
      </c>
      <c r="G39" s="85" t="s">
        <v>19</v>
      </c>
      <c r="H39" s="59">
        <f t="shared" si="5"/>
        <v>1</v>
      </c>
      <c r="I39" s="29">
        <f t="shared" si="2"/>
        <v>12.5</v>
      </c>
      <c r="J39" s="52"/>
      <c r="K39" s="52"/>
      <c r="L39" s="52"/>
      <c r="M39" s="70">
        <f t="shared" si="3"/>
        <v>0</v>
      </c>
      <c r="N39" s="70">
        <f>E46</f>
        <v>30</v>
      </c>
      <c r="O39" s="52">
        <f>E50</f>
        <v>30</v>
      </c>
      <c r="P39" s="2" t="str">
        <f t="shared" si="4"/>
        <v>0</v>
      </c>
      <c r="Q39" s="47" t="str">
        <f>C50</f>
        <v>a - zeer laag, 25% of meer nog aanwezig</v>
      </c>
    </row>
    <row r="40" spans="1:20" ht="12.75">
      <c r="A40" s="10"/>
      <c r="B40" s="11" t="s">
        <v>164</v>
      </c>
      <c r="C40" s="81" t="s">
        <v>83</v>
      </c>
      <c r="D40" s="14">
        <f>IF(C40="a - minder dan 25%",0,IF(C40="b - 25% tot 50%",1/3,IF(C40="c - 50% tot 75%",1/3*2,IF(C40="d - 75% of meer",1,0))))</f>
        <v>0.3333333333333333</v>
      </c>
      <c r="E40" s="14">
        <v>12.5</v>
      </c>
      <c r="F40" s="14">
        <f t="shared" si="0"/>
        <v>4.166666666666666</v>
      </c>
      <c r="G40" s="85" t="s">
        <v>19</v>
      </c>
      <c r="H40" s="59">
        <f t="shared" si="5"/>
        <v>1</v>
      </c>
      <c r="I40" s="29">
        <f t="shared" si="2"/>
        <v>12.5</v>
      </c>
      <c r="J40" s="52"/>
      <c r="K40" s="52"/>
      <c r="L40" s="52"/>
      <c r="M40" s="70">
        <f t="shared" si="3"/>
        <v>0</v>
      </c>
      <c r="N40" s="70">
        <f>E46</f>
        <v>30</v>
      </c>
      <c r="O40" s="52">
        <f>E52</f>
        <v>15</v>
      </c>
      <c r="P40" s="2" t="str">
        <f t="shared" si="4"/>
        <v>0</v>
      </c>
      <c r="Q40" s="47" t="str">
        <f>C52</f>
        <v>a - zeer veel</v>
      </c>
      <c r="S40" s="2">
        <v>1.6</v>
      </c>
      <c r="T40" s="2" t="s">
        <v>61</v>
      </c>
    </row>
    <row r="41" spans="1:20" ht="12.75">
      <c r="A41" s="10" t="s">
        <v>6</v>
      </c>
      <c r="B41" s="11"/>
      <c r="C41" s="82"/>
      <c r="D41" s="14"/>
      <c r="E41" s="14"/>
      <c r="F41" s="14"/>
      <c r="G41" s="86"/>
      <c r="H41" s="59"/>
      <c r="I41" s="29"/>
      <c r="J41" s="52"/>
      <c r="K41" s="52"/>
      <c r="L41" s="52"/>
      <c r="M41" s="70">
        <f t="shared" si="3"/>
        <v>0</v>
      </c>
      <c r="N41" s="70">
        <f>E46</f>
        <v>30</v>
      </c>
      <c r="O41" s="52">
        <f>E55</f>
        <v>15</v>
      </c>
      <c r="P41" s="2" t="str">
        <f t="shared" si="4"/>
        <v>0</v>
      </c>
      <c r="Q41" s="47" t="str">
        <f>C55</f>
        <v>e - zeer laag, minder dan 100 euro per ha (flora) of cluster (fauna)</v>
      </c>
      <c r="T41" s="2" t="s">
        <v>67</v>
      </c>
    </row>
    <row r="42" spans="1:20" ht="12.75">
      <c r="A42" s="10"/>
      <c r="B42" s="11" t="s">
        <v>167</v>
      </c>
      <c r="C42" s="81" t="s">
        <v>87</v>
      </c>
      <c r="D42" s="14">
        <f>IF(C42="a - meer dan 70%",0,IF(C42="b - 40% tot 70%",1/3,IF(C42="c - 15% tot 40%",1/3*2,IF(C42="d - minder dan 15%",1,0))))</f>
        <v>0</v>
      </c>
      <c r="E42" s="14">
        <v>10</v>
      </c>
      <c r="F42" s="14">
        <f t="shared" si="0"/>
        <v>0</v>
      </c>
      <c r="G42" s="85" t="s">
        <v>19</v>
      </c>
      <c r="H42" s="59">
        <f t="shared" si="5"/>
        <v>1</v>
      </c>
      <c r="I42" s="29">
        <f t="shared" si="2"/>
        <v>10</v>
      </c>
      <c r="J42" s="52"/>
      <c r="K42" s="52"/>
      <c r="L42" s="52"/>
      <c r="M42" s="70">
        <f t="shared" si="3"/>
        <v>0</v>
      </c>
      <c r="N42" s="70">
        <f>E46</f>
        <v>30</v>
      </c>
      <c r="O42" s="52">
        <f>E56</f>
        <v>5</v>
      </c>
      <c r="P42" s="2" t="str">
        <f t="shared" si="4"/>
        <v>0</v>
      </c>
      <c r="Q42" s="47" t="str">
        <f>C56</f>
        <v>a - 75% of meer</v>
      </c>
      <c r="T42" s="2" t="s">
        <v>51</v>
      </c>
    </row>
    <row r="43" spans="1:20" ht="12.75">
      <c r="A43" s="10"/>
      <c r="B43" s="11" t="s">
        <v>165</v>
      </c>
      <c r="C43" s="81" t="s">
        <v>92</v>
      </c>
      <c r="D43" s="14">
        <f>IF(C43="a - ja",1,IF(C43="b - neen",0,0))</f>
        <v>1</v>
      </c>
      <c r="E43" s="14">
        <v>7.5</v>
      </c>
      <c r="F43" s="14">
        <f t="shared" si="0"/>
        <v>7.5</v>
      </c>
      <c r="G43" s="85" t="s">
        <v>19</v>
      </c>
      <c r="H43" s="59">
        <f t="shared" si="5"/>
        <v>1</v>
      </c>
      <c r="I43" s="29">
        <f t="shared" si="2"/>
        <v>7.5</v>
      </c>
      <c r="J43" s="52"/>
      <c r="K43" s="52"/>
      <c r="L43" s="52"/>
      <c r="M43" s="70">
        <f t="shared" si="3"/>
        <v>0</v>
      </c>
      <c r="N43" s="70">
        <f>E46</f>
        <v>30</v>
      </c>
      <c r="O43" s="52">
        <f>E57</f>
        <v>5</v>
      </c>
      <c r="P43" s="2" t="str">
        <f t="shared" si="4"/>
        <v>0</v>
      </c>
      <c r="Q43" s="47" t="str">
        <f>C57</f>
        <v>c - neen</v>
      </c>
      <c r="T43" s="2" t="s">
        <v>62</v>
      </c>
    </row>
    <row r="44" spans="1:20" ht="13.5" thickBot="1">
      <c r="A44" s="15"/>
      <c r="B44" s="16" t="s">
        <v>166</v>
      </c>
      <c r="C44" s="84" t="s">
        <v>95</v>
      </c>
      <c r="D44" s="17">
        <f>IF(C44="a - heel vaak",0,IF(C44="b - vaak",0.25,IF(C44="c - af en toe",0.5,IF(C44="d - zelden",0.75,IF(C44="e - niet",1,0)))))</f>
        <v>0</v>
      </c>
      <c r="E44" s="17">
        <v>7.5</v>
      </c>
      <c r="F44" s="14">
        <f t="shared" si="0"/>
        <v>0</v>
      </c>
      <c r="G44" s="88" t="s">
        <v>19</v>
      </c>
      <c r="H44" s="60">
        <f t="shared" si="5"/>
        <v>1</v>
      </c>
      <c r="I44" s="30">
        <f t="shared" si="2"/>
        <v>7.5</v>
      </c>
      <c r="J44" s="52"/>
      <c r="K44" s="52"/>
      <c r="L44" s="52"/>
      <c r="M44" s="70">
        <f t="shared" si="3"/>
        <v>0</v>
      </c>
      <c r="N44" s="70">
        <f>E46</f>
        <v>30</v>
      </c>
      <c r="O44" s="52">
        <f>E59</f>
        <v>15</v>
      </c>
      <c r="P44" s="2" t="str">
        <f t="shared" si="4"/>
        <v>0</v>
      </c>
      <c r="Q44" s="47" t="str">
        <f>C59</f>
        <v>d - kleine gevolgen</v>
      </c>
      <c r="T44" s="2" t="s">
        <v>63</v>
      </c>
    </row>
    <row r="45" spans="4:17" ht="13.5" thickBot="1">
      <c r="D45" s="18"/>
      <c r="E45" s="18"/>
      <c r="F45" s="36"/>
      <c r="G45" s="18"/>
      <c r="M45" s="70">
        <f t="shared" si="3"/>
        <v>0</v>
      </c>
      <c r="N45" s="70">
        <f>E46</f>
        <v>30</v>
      </c>
      <c r="O45" s="25">
        <f>E61</f>
        <v>15</v>
      </c>
      <c r="P45" s="2" t="str">
        <f t="shared" si="4"/>
        <v>0</v>
      </c>
      <c r="Q45" s="47" t="str">
        <f>C61</f>
        <v>a - gedurende 1 specifieke maand</v>
      </c>
    </row>
    <row r="46" spans="1:20" ht="13.5" thickBot="1">
      <c r="A46" s="39" t="s">
        <v>7</v>
      </c>
      <c r="B46" s="40"/>
      <c r="C46" s="41"/>
      <c r="D46" s="36"/>
      <c r="E46" s="43">
        <v>30</v>
      </c>
      <c r="F46" s="35"/>
      <c r="G46" s="19"/>
      <c r="H46" s="61"/>
      <c r="I46" s="64"/>
      <c r="J46" s="70"/>
      <c r="K46" s="70"/>
      <c r="L46" s="70"/>
      <c r="M46" s="70">
        <f t="shared" si="3"/>
        <v>0</v>
      </c>
      <c r="N46" s="70">
        <f>E63</f>
        <v>15</v>
      </c>
      <c r="O46" s="70">
        <f>E65</f>
        <v>25</v>
      </c>
      <c r="P46" s="2" t="str">
        <f t="shared" si="4"/>
        <v>0</v>
      </c>
      <c r="Q46" s="47" t="str">
        <f>C65</f>
        <v>b - klein draagvlak</v>
      </c>
      <c r="S46" s="2">
        <v>2.2</v>
      </c>
      <c r="T46" s="2" t="s">
        <v>68</v>
      </c>
    </row>
    <row r="47" spans="1:20" ht="62.25" customHeight="1">
      <c r="A47" s="10"/>
      <c r="B47" s="20" t="s">
        <v>8</v>
      </c>
      <c r="C47" s="116"/>
      <c r="D47" s="117"/>
      <c r="E47" s="117"/>
      <c r="F47" s="118"/>
      <c r="G47" s="118"/>
      <c r="H47" s="118"/>
      <c r="I47" s="89"/>
      <c r="J47" s="73"/>
      <c r="K47" s="73"/>
      <c r="L47" s="73"/>
      <c r="M47" s="70">
        <f t="shared" si="3"/>
        <v>0</v>
      </c>
      <c r="N47" s="70">
        <f>E63</f>
        <v>15</v>
      </c>
      <c r="O47" s="74">
        <f>E66</f>
        <v>25</v>
      </c>
      <c r="P47" s="2" t="str">
        <f t="shared" si="4"/>
        <v>0</v>
      </c>
      <c r="Q47" s="47" t="str">
        <f>C66</f>
        <v>a - zeer klein draagvlak</v>
      </c>
      <c r="T47" s="2" t="s">
        <v>69</v>
      </c>
    </row>
    <row r="48" spans="1:20" ht="29.25" customHeight="1">
      <c r="A48" s="10"/>
      <c r="B48" s="20" t="s">
        <v>9</v>
      </c>
      <c r="C48" s="119"/>
      <c r="D48" s="118"/>
      <c r="E48" s="118"/>
      <c r="F48" s="118"/>
      <c r="G48" s="118"/>
      <c r="H48" s="118"/>
      <c r="I48" s="89"/>
      <c r="J48" s="73"/>
      <c r="K48" s="73"/>
      <c r="L48" s="73"/>
      <c r="M48" s="70">
        <f t="shared" si="3"/>
        <v>0</v>
      </c>
      <c r="N48" s="70">
        <f>E63</f>
        <v>15</v>
      </c>
      <c r="O48" s="74">
        <f>E68</f>
        <v>25</v>
      </c>
      <c r="P48" s="2" t="str">
        <f>IF(Q48=0,"1","0")</f>
        <v>0</v>
      </c>
      <c r="Q48" s="47" t="str">
        <f>C68</f>
        <v>b - klein draagvlak</v>
      </c>
      <c r="T48" s="2" t="s">
        <v>70</v>
      </c>
    </row>
    <row r="49" spans="1:20" ht="12.75">
      <c r="A49" s="10" t="s">
        <v>10</v>
      </c>
      <c r="B49" s="11"/>
      <c r="C49" s="12"/>
      <c r="D49" s="14"/>
      <c r="E49" s="14"/>
      <c r="F49" s="14"/>
      <c r="G49" s="14"/>
      <c r="H49" s="62"/>
      <c r="I49" s="65"/>
      <c r="J49" s="70"/>
      <c r="K49" s="70"/>
      <c r="L49" s="70"/>
      <c r="M49" s="70">
        <f>N49*O49*P49</f>
        <v>0</v>
      </c>
      <c r="N49" s="70">
        <f>E63</f>
        <v>15</v>
      </c>
      <c r="O49" s="70">
        <f>E69</f>
        <v>25</v>
      </c>
      <c r="P49" s="2" t="str">
        <f t="shared" si="4"/>
        <v>0</v>
      </c>
      <c r="Q49" s="47" t="str">
        <f>C69</f>
        <v>c - matig draagvlak</v>
      </c>
      <c r="T49" s="2" t="s">
        <v>71</v>
      </c>
    </row>
    <row r="50" spans="1:20" ht="12.75">
      <c r="A50" s="10"/>
      <c r="B50" s="11" t="s">
        <v>168</v>
      </c>
      <c r="C50" s="81" t="s">
        <v>100</v>
      </c>
      <c r="D50" s="14">
        <f>IF(C50="a - zeer laag, 25% of meer nog aanwezig",0,IF(C50="b - laag, 10% tot 25% nog aanwezig",0.25,IF(C50="c - gemiddeld, 5% tot 10% nog aanwezig",0.5,IF(C50="d - hoog, 1% tot 5% nog aanwezig",0.75,IF(C50="e - zeer hoog, minder dan 1% nog aanwezig",1,0)))))</f>
        <v>0</v>
      </c>
      <c r="E50" s="14">
        <v>30</v>
      </c>
      <c r="F50" s="14">
        <f>D50*E50</f>
        <v>0</v>
      </c>
      <c r="G50" s="85" t="s">
        <v>19</v>
      </c>
      <c r="H50" s="59">
        <f aca="true" t="shared" si="6" ref="H50:H61">IF(G50="laag",0,IF(G50="matig",1/3,IF(G50="hoog",1/3*2,IF(G50="zeer hoog",1,0))))</f>
        <v>1</v>
      </c>
      <c r="I50" s="29">
        <f>H50*E50</f>
        <v>30</v>
      </c>
      <c r="J50" s="52"/>
      <c r="K50" s="52"/>
      <c r="L50" s="52"/>
      <c r="M50" s="70">
        <f t="shared" si="3"/>
        <v>0</v>
      </c>
      <c r="N50" s="70">
        <f>E71</f>
        <v>5</v>
      </c>
      <c r="O50" s="52">
        <f>E72</f>
        <v>50</v>
      </c>
      <c r="P50" s="2" t="str">
        <f t="shared" si="4"/>
        <v>0</v>
      </c>
      <c r="Q50" s="47" t="str">
        <f>C72</f>
        <v>b - met ontheffing overal</v>
      </c>
      <c r="T50" s="2" t="s">
        <v>72</v>
      </c>
    </row>
    <row r="51" spans="1:17" ht="12.75">
      <c r="A51" s="10" t="s">
        <v>11</v>
      </c>
      <c r="B51" s="11"/>
      <c r="C51" s="82"/>
      <c r="D51" s="14"/>
      <c r="E51" s="14"/>
      <c r="F51" s="14"/>
      <c r="G51" s="86"/>
      <c r="H51" s="59"/>
      <c r="I51" s="29"/>
      <c r="J51" s="52"/>
      <c r="K51" s="52"/>
      <c r="L51" s="52"/>
      <c r="M51" s="70">
        <f>N51*O51*P51</f>
        <v>0</v>
      </c>
      <c r="N51" s="70">
        <f>E71</f>
        <v>5</v>
      </c>
      <c r="O51" s="52">
        <f>E73</f>
        <v>50</v>
      </c>
      <c r="P51" s="2" t="str">
        <f t="shared" si="4"/>
        <v>0</v>
      </c>
      <c r="Q51" s="47" t="str">
        <f>C73</f>
        <v>a - neen</v>
      </c>
    </row>
    <row r="52" spans="1:20" ht="12.75">
      <c r="A52" s="10"/>
      <c r="B52" s="11" t="s">
        <v>171</v>
      </c>
      <c r="C52" s="81" t="s">
        <v>64</v>
      </c>
      <c r="D52" s="14">
        <f>IF(C52="a - zeer veel",0,IF(C52="b - veel",0.25,IF(C52="c - matig",0.5,IF(C52="d - weinig",0.75,IF(C52="e - zeer weinig",1,0)))))</f>
        <v>0</v>
      </c>
      <c r="E52" s="14">
        <v>15</v>
      </c>
      <c r="F52" s="14">
        <f aca="true" t="shared" si="7" ref="F52:F72">D52*E52</f>
        <v>0</v>
      </c>
      <c r="G52" s="85" t="s">
        <v>19</v>
      </c>
      <c r="H52" s="59">
        <f t="shared" si="6"/>
        <v>1</v>
      </c>
      <c r="I52" s="29">
        <f aca="true" t="shared" si="8" ref="I52:I73">H52*E52</f>
        <v>15</v>
      </c>
      <c r="J52" s="52"/>
      <c r="K52" s="52"/>
      <c r="L52" s="52"/>
      <c r="M52" s="75">
        <f>SUM(M24:M51)</f>
        <v>0</v>
      </c>
      <c r="N52" s="69"/>
      <c r="O52" s="52"/>
      <c r="Q52" s="47"/>
      <c r="S52" s="2">
        <v>2.3</v>
      </c>
      <c r="T52" s="2" t="s">
        <v>73</v>
      </c>
    </row>
    <row r="53" spans="1:20" ht="12.75">
      <c r="A53" s="10"/>
      <c r="B53" s="66" t="s">
        <v>43</v>
      </c>
      <c r="C53" s="81"/>
      <c r="D53" s="14"/>
      <c r="E53" s="14"/>
      <c r="F53" s="14"/>
      <c r="G53" s="87"/>
      <c r="H53" s="59"/>
      <c r="I53" s="29"/>
      <c r="J53" s="52"/>
      <c r="K53" s="52"/>
      <c r="L53" s="52"/>
      <c r="M53" s="52"/>
      <c r="N53" s="52"/>
      <c r="O53" s="52"/>
      <c r="Q53" s="47"/>
      <c r="T53" s="2" t="s">
        <v>74</v>
      </c>
    </row>
    <row r="54" spans="1:20" ht="12.75">
      <c r="A54" s="10"/>
      <c r="B54" s="66" t="s">
        <v>44</v>
      </c>
      <c r="C54" s="81"/>
      <c r="D54" s="14"/>
      <c r="E54" s="14"/>
      <c r="F54" s="14"/>
      <c r="G54" s="87"/>
      <c r="H54" s="59"/>
      <c r="I54" s="29"/>
      <c r="J54" s="52"/>
      <c r="K54" s="52"/>
      <c r="L54" s="52"/>
      <c r="M54" s="52"/>
      <c r="N54" s="52"/>
      <c r="O54" s="52"/>
      <c r="Q54" s="47"/>
      <c r="T54" s="2" t="s">
        <v>75</v>
      </c>
    </row>
    <row r="55" spans="1:20" ht="12.75">
      <c r="A55" s="10"/>
      <c r="B55" s="11" t="s">
        <v>169</v>
      </c>
      <c r="C55" s="81" t="s">
        <v>149</v>
      </c>
      <c r="D55" s="14">
        <f>IF(C55="a - zeer hoog, meer dan 2500 euro per ha (flora) of cluster (fauna)",0,IF(C55="b - hoog, 2500 tot 1000 euro per ha (flora) of cluster (fauna)",0.25,IF(C55="c - gemiddeld, 1000 tot 250 euro per ha (flora) of cluster (fauna)",0.5,IF(C55="d - laag, 250 tot 100 euro per ha (flora) of cluster (fauna)",0.75,IF(C55="e - zeer laag, minder dan 100 euro per ha (flora) of cluster (fauna)",1,0)))))</f>
        <v>1</v>
      </c>
      <c r="E55" s="14">
        <v>15</v>
      </c>
      <c r="F55" s="14">
        <f t="shared" si="7"/>
        <v>15</v>
      </c>
      <c r="G55" s="85" t="s">
        <v>19</v>
      </c>
      <c r="H55" s="59">
        <f t="shared" si="6"/>
        <v>1</v>
      </c>
      <c r="I55" s="29">
        <f t="shared" si="8"/>
        <v>15</v>
      </c>
      <c r="J55" s="52"/>
      <c r="K55" s="52"/>
      <c r="L55" s="52"/>
      <c r="M55" s="52"/>
      <c r="N55" s="52"/>
      <c r="O55" s="52"/>
      <c r="Q55" s="49">
        <f>COUNTIF(Q24:Q51,0)</f>
        <v>0</v>
      </c>
      <c r="T55" s="2" t="s">
        <v>76</v>
      </c>
    </row>
    <row r="56" spans="1:20" ht="12.75">
      <c r="A56" s="10"/>
      <c r="B56" s="11" t="s">
        <v>33</v>
      </c>
      <c r="C56" s="81" t="s">
        <v>57</v>
      </c>
      <c r="D56" s="14">
        <f>IF(C56="a - 75% of meer",1,IF(C56="b - van 50% tot 75%",0.75,IF(C56="c - van 25% tot en met 50%",0.5,IF(C56="d - minder dan 25%",0.25,IF(C56="e - neen",0,0)))))</f>
        <v>1</v>
      </c>
      <c r="E56" s="14">
        <v>5</v>
      </c>
      <c r="F56" s="14">
        <f t="shared" si="7"/>
        <v>5</v>
      </c>
      <c r="G56" s="85" t="s">
        <v>19</v>
      </c>
      <c r="H56" s="59">
        <f t="shared" si="6"/>
        <v>1</v>
      </c>
      <c r="I56" s="29">
        <f t="shared" si="8"/>
        <v>5</v>
      </c>
      <c r="J56" s="52"/>
      <c r="K56" s="52"/>
      <c r="L56" s="52"/>
      <c r="M56" s="52"/>
      <c r="N56" s="52"/>
      <c r="O56" s="52"/>
      <c r="T56" s="2" t="s">
        <v>77</v>
      </c>
    </row>
    <row r="57" spans="1:17" ht="12.75">
      <c r="A57" s="10"/>
      <c r="B57" s="11" t="s">
        <v>170</v>
      </c>
      <c r="C57" s="81" t="s">
        <v>151</v>
      </c>
      <c r="D57" s="14">
        <f>IF(C57="a - ja, een tweede soort mee uitgeroeid",1,IF(C57="b - ja, een tweede soort mee beheerst",0.5,IF(C57="c - neen",0,0)))</f>
        <v>0</v>
      </c>
      <c r="E57" s="14">
        <v>5</v>
      </c>
      <c r="F57" s="14">
        <f t="shared" si="7"/>
        <v>0</v>
      </c>
      <c r="G57" s="85" t="s">
        <v>19</v>
      </c>
      <c r="H57" s="59">
        <f t="shared" si="6"/>
        <v>1</v>
      </c>
      <c r="I57" s="29">
        <f t="shared" si="8"/>
        <v>5</v>
      </c>
      <c r="J57" s="52"/>
      <c r="K57" s="52"/>
      <c r="L57" s="52"/>
      <c r="M57" s="52"/>
      <c r="N57" s="52"/>
      <c r="O57" s="52"/>
      <c r="Q57" s="2">
        <f>SUM(E16,E31,E46,E63,E71)</f>
        <v>100</v>
      </c>
    </row>
    <row r="58" spans="1:20" ht="12.75">
      <c r="A58" s="10" t="s">
        <v>29</v>
      </c>
      <c r="B58" s="11"/>
      <c r="C58" s="82"/>
      <c r="D58" s="14"/>
      <c r="E58" s="14"/>
      <c r="F58" s="14"/>
      <c r="G58" s="86"/>
      <c r="H58" s="59"/>
      <c r="I58" s="29"/>
      <c r="J58" s="52"/>
      <c r="K58" s="52"/>
      <c r="L58" s="52"/>
      <c r="M58" s="52"/>
      <c r="N58" s="52"/>
      <c r="O58" s="52"/>
      <c r="S58" s="2" t="s">
        <v>78</v>
      </c>
      <c r="T58" s="2" t="s">
        <v>79</v>
      </c>
    </row>
    <row r="59" spans="1:20" ht="12.75">
      <c r="A59" s="10"/>
      <c r="B59" s="11" t="s">
        <v>172</v>
      </c>
      <c r="C59" s="81" t="s">
        <v>112</v>
      </c>
      <c r="D59" s="14">
        <f>IF(C59="a - zeer negatieve gevolgen",0,IF(C59="b - negatieve gevolgen",0.25,IF(C59="c - gemiddelde gevolgen",0.5,IF(C59="d - kleine gevolgen",0.75,IF(C59="e - geen negatieve gevolgen",1,0)))))</f>
        <v>0.75</v>
      </c>
      <c r="E59" s="14">
        <v>15</v>
      </c>
      <c r="F59" s="14">
        <f t="shared" si="7"/>
        <v>11.25</v>
      </c>
      <c r="G59" s="85" t="s">
        <v>19</v>
      </c>
      <c r="H59" s="59">
        <f t="shared" si="6"/>
        <v>1</v>
      </c>
      <c r="I59" s="29">
        <f t="shared" si="8"/>
        <v>15</v>
      </c>
      <c r="J59" s="52"/>
      <c r="K59" s="52"/>
      <c r="L59" s="52"/>
      <c r="M59" s="52"/>
      <c r="N59" s="52"/>
      <c r="O59" s="52"/>
      <c r="Q59" s="46">
        <f>SUM(E18:E29)</f>
        <v>100</v>
      </c>
      <c r="T59" s="2" t="s">
        <v>80</v>
      </c>
    </row>
    <row r="60" spans="1:20" ht="12.75">
      <c r="A60" s="10" t="s">
        <v>24</v>
      </c>
      <c r="B60" s="11"/>
      <c r="C60" s="82"/>
      <c r="D60" s="14"/>
      <c r="E60" s="14"/>
      <c r="F60" s="14"/>
      <c r="G60" s="86"/>
      <c r="H60" s="59"/>
      <c r="I60" s="29"/>
      <c r="J60" s="52"/>
      <c r="K60" s="52"/>
      <c r="L60" s="52"/>
      <c r="M60" s="52"/>
      <c r="N60" s="52"/>
      <c r="O60" s="52"/>
      <c r="Q60" s="47">
        <f>SUM(E33:E44)</f>
        <v>100</v>
      </c>
      <c r="T60" s="2" t="s">
        <v>143</v>
      </c>
    </row>
    <row r="61" spans="1:20" ht="13.5" thickBot="1">
      <c r="A61" s="15"/>
      <c r="B61" s="16" t="s">
        <v>25</v>
      </c>
      <c r="C61" s="84" t="s">
        <v>114</v>
      </c>
      <c r="D61" s="17">
        <f>IF(C61="a - gedurende 1 specifieke maand",0,IF(C61="b - gedurende 1 tot 3 maanden",0.25,IF(C61="c - gedurende 3 tot 6 maanden",0.5,IF(C61="d - gedurende 6 tot 9 maanden",0.75,IF(C61="e - gedurende 9 maanden of meer",1,0)))))</f>
        <v>0</v>
      </c>
      <c r="E61" s="17">
        <v>15</v>
      </c>
      <c r="F61" s="14">
        <f t="shared" si="7"/>
        <v>0</v>
      </c>
      <c r="G61" s="88" t="s">
        <v>19</v>
      </c>
      <c r="H61" s="60">
        <f t="shared" si="6"/>
        <v>1</v>
      </c>
      <c r="I61" s="30">
        <f>H61*E61</f>
        <v>15</v>
      </c>
      <c r="J61" s="52"/>
      <c r="K61" s="52"/>
      <c r="L61" s="52"/>
      <c r="M61" s="52"/>
      <c r="N61" s="52"/>
      <c r="O61" s="52"/>
      <c r="Q61" s="47">
        <f>SUM(E50:E61)</f>
        <v>100</v>
      </c>
      <c r="T61" s="2" t="s">
        <v>144</v>
      </c>
    </row>
    <row r="62" spans="4:17" ht="13.5" thickBot="1">
      <c r="D62" s="18"/>
      <c r="E62" s="18"/>
      <c r="F62" s="36"/>
      <c r="H62" s="27"/>
      <c r="I62" s="52"/>
      <c r="J62" s="52"/>
      <c r="K62" s="52"/>
      <c r="L62" s="52"/>
      <c r="M62" s="52"/>
      <c r="N62" s="52"/>
      <c r="O62" s="52"/>
      <c r="Q62" s="47">
        <f>SUM(E65:E69)</f>
        <v>100</v>
      </c>
    </row>
    <row r="63" spans="1:20" ht="13.5" thickBot="1">
      <c r="A63" s="39" t="s">
        <v>12</v>
      </c>
      <c r="B63" s="40"/>
      <c r="C63" s="41"/>
      <c r="D63" s="36"/>
      <c r="E63" s="43">
        <v>15</v>
      </c>
      <c r="F63" s="42"/>
      <c r="G63" s="9"/>
      <c r="H63" s="57"/>
      <c r="I63" s="63"/>
      <c r="J63" s="52"/>
      <c r="K63" s="52"/>
      <c r="L63" s="52"/>
      <c r="M63" s="52"/>
      <c r="N63" s="52"/>
      <c r="O63" s="52"/>
      <c r="Q63" s="47">
        <f>SUM(E72:E73)</f>
        <v>100</v>
      </c>
      <c r="S63" s="2" t="s">
        <v>81</v>
      </c>
      <c r="T63" s="2" t="s">
        <v>82</v>
      </c>
    </row>
    <row r="64" spans="1:20" ht="12.75">
      <c r="A64" s="10" t="s">
        <v>13</v>
      </c>
      <c r="B64" s="11"/>
      <c r="C64" s="12"/>
      <c r="D64" s="14"/>
      <c r="E64" s="14"/>
      <c r="F64" s="14"/>
      <c r="G64" s="13"/>
      <c r="H64" s="58"/>
      <c r="I64" s="29"/>
      <c r="J64" s="52"/>
      <c r="K64" s="52"/>
      <c r="L64" s="52"/>
      <c r="M64" s="52"/>
      <c r="N64" s="52"/>
      <c r="O64" s="52"/>
      <c r="Q64" s="47"/>
      <c r="T64" s="2" t="s">
        <v>83</v>
      </c>
    </row>
    <row r="65" spans="1:20" ht="12.75">
      <c r="A65" s="10"/>
      <c r="B65" s="11" t="s">
        <v>34</v>
      </c>
      <c r="C65" s="81" t="s">
        <v>120</v>
      </c>
      <c r="D65" s="14">
        <f>IF(C65="a - zeer klein draagvlak",0,IF(C65="b - klein draagvlak",0.25,IF(C65="c - matig draagvlak",0.5,IF(C65="d - groot draagvlak",0.75,IF(C65="e - zeer groot draagvlak",1,0)))))</f>
        <v>0.25</v>
      </c>
      <c r="E65" s="14">
        <v>25</v>
      </c>
      <c r="F65" s="14">
        <f t="shared" si="7"/>
        <v>6.25</v>
      </c>
      <c r="G65" s="85" t="s">
        <v>19</v>
      </c>
      <c r="H65" s="59">
        <f>IF(G65="laag",0,IF(G65="matig",1/3,IF(G65="hoog",1/3*2,IF(G65="zeer hoog",1,0))))</f>
        <v>1</v>
      </c>
      <c r="I65" s="29">
        <f t="shared" si="8"/>
        <v>25</v>
      </c>
      <c r="J65" s="52"/>
      <c r="K65" s="52"/>
      <c r="L65" s="52"/>
      <c r="M65" s="52"/>
      <c r="N65" s="52"/>
      <c r="O65" s="52"/>
      <c r="Q65" s="48">
        <f>COUNTIF(Q59:Q63,100)</f>
        <v>5</v>
      </c>
      <c r="T65" s="2" t="s">
        <v>84</v>
      </c>
    </row>
    <row r="66" spans="1:20" ht="12.75">
      <c r="A66" s="10"/>
      <c r="B66" s="11" t="s">
        <v>173</v>
      </c>
      <c r="C66" s="81" t="s">
        <v>119</v>
      </c>
      <c r="D66" s="14">
        <f>IF(C66="a - zeer klein draagvlak",0,IF(C66="b - klein draagvlak",0.25,IF(C66="c - matig draagvlak",0.5,IF(C66="d - groot draagvlak",0.75,IF(C66="e - zeer groot draagvlak",1,0)))))</f>
        <v>0</v>
      </c>
      <c r="E66" s="14">
        <v>25</v>
      </c>
      <c r="F66" s="14">
        <f t="shared" si="7"/>
        <v>0</v>
      </c>
      <c r="G66" s="85" t="s">
        <v>19</v>
      </c>
      <c r="H66" s="59">
        <f>IF(G66="laag",0,IF(G66="matig",1/3,IF(G66="hoog",1/3*2,IF(G66="zeer hoog",1,0))))</f>
        <v>1</v>
      </c>
      <c r="I66" s="29">
        <f t="shared" si="8"/>
        <v>25</v>
      </c>
      <c r="J66" s="52"/>
      <c r="K66" s="52"/>
      <c r="L66" s="52"/>
      <c r="M66" s="52"/>
      <c r="N66" s="52"/>
      <c r="O66" s="52"/>
      <c r="T66" s="2" t="s">
        <v>85</v>
      </c>
    </row>
    <row r="67" spans="1:15" ht="12.75">
      <c r="A67" s="10" t="s">
        <v>14</v>
      </c>
      <c r="B67" s="11"/>
      <c r="C67" s="82"/>
      <c r="D67" s="14"/>
      <c r="E67" s="14"/>
      <c r="F67" s="14"/>
      <c r="G67" s="86"/>
      <c r="H67" s="59"/>
      <c r="I67" s="29"/>
      <c r="J67" s="52"/>
      <c r="K67" s="52"/>
      <c r="L67" s="52"/>
      <c r="M67" s="52"/>
      <c r="N67" s="52"/>
      <c r="O67" s="52"/>
    </row>
    <row r="68" spans="1:20" ht="12.75">
      <c r="A68" s="10"/>
      <c r="B68" s="11" t="s">
        <v>35</v>
      </c>
      <c r="C68" s="81" t="s">
        <v>120</v>
      </c>
      <c r="D68" s="14">
        <f>IF(C68="a - zeer klein draagvlak",0,IF(C68="b - klein draagvlak",0.25,IF(C68="c - matig draagvlak",0.5,IF(C68="d - groot draagvlak",0.75,IF(C68="e - zeer groot draagvlak",1,0)))))</f>
        <v>0.25</v>
      </c>
      <c r="E68" s="14">
        <v>25</v>
      </c>
      <c r="F68" s="14">
        <f t="shared" si="7"/>
        <v>6.25</v>
      </c>
      <c r="G68" s="85" t="s">
        <v>19</v>
      </c>
      <c r="H68" s="59">
        <f>IF(G68="laag",0,IF(G68="matig",1/3,IF(G68="hoog",1/3*2,IF(G68="zeer hoog",1,0))))</f>
        <v>1</v>
      </c>
      <c r="I68" s="29">
        <f t="shared" si="8"/>
        <v>25</v>
      </c>
      <c r="J68" s="52"/>
      <c r="K68" s="52"/>
      <c r="L68" s="52"/>
      <c r="M68" s="52"/>
      <c r="N68" s="52"/>
      <c r="O68" s="52"/>
      <c r="S68" s="2" t="s">
        <v>86</v>
      </c>
      <c r="T68" s="2" t="s">
        <v>87</v>
      </c>
    </row>
    <row r="69" spans="1:20" ht="13.5" thickBot="1">
      <c r="A69" s="15"/>
      <c r="B69" s="16" t="s">
        <v>174</v>
      </c>
      <c r="C69" s="84" t="s">
        <v>121</v>
      </c>
      <c r="D69" s="17">
        <f>IF(C69="a - zeer klein draagvlak",0,IF(C69="b - klein draagvlak",0.25,IF(C69="c - matig draagvlak",0.5,IF(C69="d - groot draagvlak",0.75,IF(C69="e - zeer groot draagvlak",1,0)))))</f>
        <v>0.5</v>
      </c>
      <c r="E69" s="17">
        <v>25</v>
      </c>
      <c r="F69" s="14">
        <f t="shared" si="7"/>
        <v>12.5</v>
      </c>
      <c r="G69" s="88" t="s">
        <v>19</v>
      </c>
      <c r="H69" s="60">
        <f>IF(G69="laag",0,IF(G69="matig",1/3,IF(G69="hoog",1/3*2,IF(G69="zeer hoog",1,0))))</f>
        <v>1</v>
      </c>
      <c r="I69" s="30">
        <f t="shared" si="8"/>
        <v>25</v>
      </c>
      <c r="J69" s="52"/>
      <c r="K69" s="52"/>
      <c r="L69" s="52"/>
      <c r="M69" s="52"/>
      <c r="N69" s="52"/>
      <c r="O69" s="52"/>
      <c r="T69" s="2" t="s">
        <v>88</v>
      </c>
    </row>
    <row r="70" spans="3:20" ht="13.5" thickBot="1">
      <c r="C70" s="90"/>
      <c r="D70" s="18"/>
      <c r="E70" s="18"/>
      <c r="F70" s="36"/>
      <c r="G70" s="92"/>
      <c r="H70" s="27"/>
      <c r="I70" s="52"/>
      <c r="J70" s="52"/>
      <c r="K70" s="52"/>
      <c r="L70" s="52"/>
      <c r="M70" s="52"/>
      <c r="N70" s="52"/>
      <c r="O70" s="52"/>
      <c r="T70" s="2" t="s">
        <v>89</v>
      </c>
    </row>
    <row r="71" spans="1:20" ht="13.5" thickBot="1">
      <c r="A71" s="39" t="s">
        <v>15</v>
      </c>
      <c r="B71" s="40"/>
      <c r="C71" s="91"/>
      <c r="D71" s="36"/>
      <c r="E71" s="80">
        <v>5</v>
      </c>
      <c r="F71" s="42"/>
      <c r="G71" s="93"/>
      <c r="H71" s="57"/>
      <c r="I71" s="63"/>
      <c r="J71" s="52"/>
      <c r="K71" s="52"/>
      <c r="L71" s="52"/>
      <c r="M71" s="52"/>
      <c r="N71" s="52"/>
      <c r="O71" s="52"/>
      <c r="T71" s="2" t="s">
        <v>90</v>
      </c>
    </row>
    <row r="72" spans="1:15" ht="12.75">
      <c r="A72" s="10"/>
      <c r="B72" s="11" t="s">
        <v>36</v>
      </c>
      <c r="C72" s="81" t="s">
        <v>126</v>
      </c>
      <c r="D72" s="14">
        <f>IF(C72="a - met ontheffing beperkt",0,IF(C72="b - met ontheffing overal",0.5,IF(C72="c - zonder ontheffing bijna overal",0.75,IF(C72="d - zonder ontheffing overal",1,0))))</f>
        <v>0.5</v>
      </c>
      <c r="E72" s="78">
        <v>50</v>
      </c>
      <c r="F72" s="14">
        <f t="shared" si="7"/>
        <v>25</v>
      </c>
      <c r="G72" s="85" t="s">
        <v>17</v>
      </c>
      <c r="H72" s="59">
        <f>IF(G72="laag",0,IF(G72="matig",1/3,IF(G72="hoog",1/3*2,IF(G72="zeer hoog",1,0))))</f>
        <v>0.3333333333333333</v>
      </c>
      <c r="I72" s="29">
        <f t="shared" si="8"/>
        <v>16.666666666666664</v>
      </c>
      <c r="J72" s="52"/>
      <c r="K72" s="52"/>
      <c r="L72" s="52"/>
      <c r="M72" s="52"/>
      <c r="N72" s="52"/>
      <c r="O72" s="52"/>
    </row>
    <row r="73" spans="1:20" ht="13.5" thickBot="1">
      <c r="A73" s="15"/>
      <c r="B73" s="16" t="s">
        <v>37</v>
      </c>
      <c r="C73" s="84" t="s">
        <v>130</v>
      </c>
      <c r="D73" s="17">
        <f>IF(C73="c - ja",0,IF(C73="b - gedeeltelijk",0.5,IF(C73="a - neen",1,0)))</f>
        <v>1</v>
      </c>
      <c r="E73" s="79">
        <v>50</v>
      </c>
      <c r="F73" s="17">
        <f>D73*E73</f>
        <v>50</v>
      </c>
      <c r="G73" s="88" t="s">
        <v>16</v>
      </c>
      <c r="H73" s="60">
        <f>IF(G73="laag",0,IF(G73="matig",1/3,IF(G73="hoog",1/3*2,IF(G73="zeer hoog",1,0))))</f>
        <v>0</v>
      </c>
      <c r="I73" s="30">
        <f t="shared" si="8"/>
        <v>0</v>
      </c>
      <c r="J73" s="52"/>
      <c r="K73" s="52"/>
      <c r="L73" s="52"/>
      <c r="M73" s="52"/>
      <c r="N73" s="52"/>
      <c r="O73" s="52"/>
      <c r="S73" s="2" t="s">
        <v>91</v>
      </c>
      <c r="T73" s="2" t="s">
        <v>92</v>
      </c>
    </row>
    <row r="74" ht="12.75">
      <c r="T74" s="2" t="s">
        <v>93</v>
      </c>
    </row>
    <row r="76" spans="19:20" ht="12.75">
      <c r="S76" s="2" t="s">
        <v>94</v>
      </c>
      <c r="T76" s="2" t="s">
        <v>95</v>
      </c>
    </row>
    <row r="77" spans="2:20" ht="13.5" customHeight="1">
      <c r="B77" s="54"/>
      <c r="C77" s="97"/>
      <c r="D77" s="54"/>
      <c r="E77" s="54"/>
      <c r="F77" s="54"/>
      <c r="G77" s="54"/>
      <c r="H77" s="51"/>
      <c r="I77" s="104"/>
      <c r="J77" s="115"/>
      <c r="K77" s="115"/>
      <c r="L77" s="115"/>
      <c r="M77" s="115"/>
      <c r="N77" s="115"/>
      <c r="O77" s="2"/>
      <c r="T77" s="2" t="s">
        <v>99</v>
      </c>
    </row>
    <row r="78" spans="2:20" ht="12.75">
      <c r="B78" s="96"/>
      <c r="C78" s="97"/>
      <c r="D78" s="54"/>
      <c r="E78" s="54"/>
      <c r="F78" s="98"/>
      <c r="G78" s="50"/>
      <c r="T78" s="2" t="s">
        <v>96</v>
      </c>
    </row>
    <row r="79" spans="7:20" ht="13.5" thickBot="1">
      <c r="G79" s="50"/>
      <c r="T79" s="2" t="s">
        <v>97</v>
      </c>
    </row>
    <row r="80" spans="2:20" ht="13.5" thickBot="1">
      <c r="B80" s="21" t="s">
        <v>45</v>
      </c>
      <c r="C80" s="22"/>
      <c r="D80" s="33"/>
      <c r="E80" s="33"/>
      <c r="F80" s="34">
        <f>IF(M52=0,((SUM(F18:F29)*E16)+(SUM(F33:F44)*E31)+(SUM(F50:F61)*E46)+(SUM(F65:F69)*E63)+(SUM(F72:F73)*E71))/100,"zie genormeerde score")</f>
        <v>41.04166666666666</v>
      </c>
      <c r="G80" s="55"/>
      <c r="H80" s="71" t="str">
        <f>IF(F80=0,"",IF(F80&lt;25,"zeer moeilijk haalbaar",IF(F80&lt;50,"moeilijk haalbaar",IF(F80&lt;75,"matig haalbaar",IF(F80&lt;100,"relatief makkelijk haalbaar","")))))</f>
        <v>moeilijk haalbaar</v>
      </c>
      <c r="I80" s="72"/>
      <c r="J80" s="72"/>
      <c r="K80" s="72"/>
      <c r="L80" s="72"/>
      <c r="M80" s="72"/>
      <c r="N80" s="72"/>
      <c r="O80" s="2"/>
      <c r="T80" s="2" t="s">
        <v>98</v>
      </c>
    </row>
    <row r="81" spans="2:14" ht="13.5" thickBot="1">
      <c r="B81" s="105">
        <f>IF(Q55&gt;0,"Let op, niet alle vragen werden beantwoord, de eindscore is niet betrouwbaar: uw score werd genormeerd","")</f>
      </c>
      <c r="C81" s="106"/>
      <c r="D81" s="106"/>
      <c r="E81" s="106"/>
      <c r="F81" s="77">
        <f>IF(M52&gt;0,100*(((SUM(F18:F29)*E16)+(SUM(F33:F44)*E31)+(SUM(F50:F61)*E46)+(SUM(F65:F69)*E63)+(SUM(F72:F73)*E71))/(10000-M52)),"")</f>
      </c>
      <c r="H81" s="94">
        <f>IF(F81=0,"",IF(F81&lt;25,"zeer moeilijk haalbaar",IF(F81&lt;50,"moeilijk haalbaar",IF(F81&lt;75,"matig haalbaar",IF(F81&lt;100,"relatief makkelijk haalbaar","")))))</f>
      </c>
      <c r="I81" s="100"/>
      <c r="J81" s="100"/>
      <c r="K81" s="100"/>
      <c r="L81" s="100"/>
      <c r="M81" s="100"/>
      <c r="N81" s="101"/>
    </row>
    <row r="82" spans="6:20" ht="12.75">
      <c r="F82" s="76"/>
      <c r="H82" s="4"/>
      <c r="S82" s="2">
        <v>3.1</v>
      </c>
      <c r="T82" s="2" t="s">
        <v>100</v>
      </c>
    </row>
    <row r="83" spans="6:20" ht="12.75">
      <c r="F83" s="99"/>
      <c r="G83" s="99"/>
      <c r="H83" s="102">
        <f>((SUM(I18:I29)*E16)+(SUM(I33:I44)*E31)+(SUM(I50:I61)*E46)+(SUM(I65:I69)*E63)+(SUM(I72:I73)*E71))/100</f>
        <v>94.16666666666666</v>
      </c>
      <c r="I83" s="103" t="s">
        <v>175</v>
      </c>
      <c r="J83" s="27"/>
      <c r="K83" s="27"/>
      <c r="L83" s="27"/>
      <c r="M83" s="27"/>
      <c r="N83" s="27"/>
      <c r="O83" s="27"/>
      <c r="P83" s="95"/>
      <c r="T83" s="2" t="s">
        <v>102</v>
      </c>
    </row>
    <row r="84" spans="6:20" ht="12.75">
      <c r="F84" s="50"/>
      <c r="G84" s="50"/>
      <c r="H84" s="50"/>
      <c r="I84" s="27"/>
      <c r="J84" s="27"/>
      <c r="K84" s="27"/>
      <c r="L84" s="27"/>
      <c r="M84" s="27"/>
      <c r="N84" s="27"/>
      <c r="O84" s="27"/>
      <c r="P84" s="95"/>
      <c r="T84" s="2" t="s">
        <v>101</v>
      </c>
    </row>
    <row r="85" spans="6:20" ht="12.75">
      <c r="F85" s="99"/>
      <c r="G85" s="99"/>
      <c r="H85" s="50"/>
      <c r="I85" s="27"/>
      <c r="J85" s="27"/>
      <c r="K85" s="27"/>
      <c r="L85" s="27"/>
      <c r="M85" s="27"/>
      <c r="N85" s="27"/>
      <c r="O85" s="27"/>
      <c r="P85" s="95"/>
      <c r="T85" s="2" t="s">
        <v>103</v>
      </c>
    </row>
    <row r="86" spans="6:20" ht="12.75">
      <c r="F86" s="50"/>
      <c r="G86" s="50"/>
      <c r="H86" s="50"/>
      <c r="I86" s="27"/>
      <c r="J86" s="27"/>
      <c r="K86" s="27"/>
      <c r="L86" s="27"/>
      <c r="M86" s="27"/>
      <c r="N86" s="27"/>
      <c r="O86" s="27"/>
      <c r="P86" s="95"/>
      <c r="T86" s="2" t="s">
        <v>104</v>
      </c>
    </row>
    <row r="87" spans="6:16" ht="12.75">
      <c r="F87" s="99"/>
      <c r="G87" s="99"/>
      <c r="H87" s="50"/>
      <c r="I87" s="27"/>
      <c r="J87" s="27"/>
      <c r="K87" s="27"/>
      <c r="L87" s="27"/>
      <c r="M87" s="27"/>
      <c r="N87" s="27"/>
      <c r="O87" s="27"/>
      <c r="P87" s="95"/>
    </row>
    <row r="88" spans="19:20" ht="12.75">
      <c r="S88" s="2" t="s">
        <v>105</v>
      </c>
      <c r="T88" s="2" t="s">
        <v>145</v>
      </c>
    </row>
    <row r="89" ht="12.75">
      <c r="T89" s="2" t="s">
        <v>146</v>
      </c>
    </row>
    <row r="90" ht="12.75">
      <c r="T90" s="2" t="s">
        <v>147</v>
      </c>
    </row>
    <row r="91" ht="12.75">
      <c r="T91" s="2" t="s">
        <v>148</v>
      </c>
    </row>
    <row r="92" ht="12.75">
      <c r="T92" s="2" t="s">
        <v>149</v>
      </c>
    </row>
    <row r="94" ht="12.75">
      <c r="T94" s="2" t="s">
        <v>57</v>
      </c>
    </row>
    <row r="95" spans="19:20" ht="12.75">
      <c r="S95" s="2" t="s">
        <v>106</v>
      </c>
      <c r="T95" s="2" t="s">
        <v>58</v>
      </c>
    </row>
    <row r="96" ht="12.75">
      <c r="T96" s="2" t="s">
        <v>59</v>
      </c>
    </row>
    <row r="97" ht="12.75">
      <c r="T97" s="2" t="s">
        <v>60</v>
      </c>
    </row>
    <row r="98" ht="12.75">
      <c r="T98" s="2" t="s">
        <v>107</v>
      </c>
    </row>
    <row r="101" spans="19:20" ht="12.75">
      <c r="S101" s="2" t="s">
        <v>108</v>
      </c>
      <c r="T101" s="2" t="s">
        <v>152</v>
      </c>
    </row>
    <row r="102" ht="12.75">
      <c r="T102" s="2" t="s">
        <v>150</v>
      </c>
    </row>
    <row r="103" ht="12.75">
      <c r="T103" s="2" t="s">
        <v>151</v>
      </c>
    </row>
    <row r="105" ht="12.75">
      <c r="T105" s="2" t="s">
        <v>109</v>
      </c>
    </row>
    <row r="106" spans="19:20" ht="12.75">
      <c r="S106" s="2">
        <v>3.3</v>
      </c>
      <c r="T106" s="2" t="s">
        <v>110</v>
      </c>
    </row>
    <row r="107" ht="12.75">
      <c r="T107" s="2" t="s">
        <v>111</v>
      </c>
    </row>
    <row r="108" ht="12.75">
      <c r="T108" s="2" t="s">
        <v>112</v>
      </c>
    </row>
    <row r="109" ht="12.75">
      <c r="T109" s="2" t="s">
        <v>113</v>
      </c>
    </row>
    <row r="111" ht="12.75">
      <c r="T111" s="2" t="s">
        <v>114</v>
      </c>
    </row>
    <row r="112" spans="19:20" ht="12.75">
      <c r="S112" s="2">
        <v>3.4</v>
      </c>
      <c r="T112" s="2" t="s">
        <v>115</v>
      </c>
    </row>
    <row r="113" ht="12.75">
      <c r="T113" s="2" t="s">
        <v>118</v>
      </c>
    </row>
    <row r="114" ht="12.75">
      <c r="T114" s="2" t="s">
        <v>116</v>
      </c>
    </row>
    <row r="115" ht="12.75">
      <c r="T115" s="2" t="s">
        <v>117</v>
      </c>
    </row>
    <row r="117" ht="12.75">
      <c r="T117" s="2" t="s">
        <v>119</v>
      </c>
    </row>
    <row r="118" spans="19:20" ht="12.75">
      <c r="S118" s="2">
        <v>4</v>
      </c>
      <c r="T118" s="2" t="s">
        <v>120</v>
      </c>
    </row>
    <row r="119" ht="12.75">
      <c r="T119" s="2" t="s">
        <v>121</v>
      </c>
    </row>
    <row r="120" ht="12.75">
      <c r="T120" s="2" t="s">
        <v>122</v>
      </c>
    </row>
    <row r="121" ht="12.75">
      <c r="T121" s="2" t="s">
        <v>123</v>
      </c>
    </row>
    <row r="123" ht="12.75">
      <c r="T123" s="2" t="s">
        <v>125</v>
      </c>
    </row>
    <row r="124" spans="19:20" ht="12.75">
      <c r="S124" s="2" t="s">
        <v>124</v>
      </c>
      <c r="T124" s="2" t="s">
        <v>126</v>
      </c>
    </row>
    <row r="125" ht="12.75">
      <c r="T125" s="2" t="s">
        <v>127</v>
      </c>
    </row>
    <row r="126" ht="12.75">
      <c r="T126" s="2" t="s">
        <v>128</v>
      </c>
    </row>
    <row r="128" ht="12.75">
      <c r="T128" s="2" t="s">
        <v>130</v>
      </c>
    </row>
    <row r="129" spans="19:20" ht="12.75">
      <c r="S129" s="2" t="s">
        <v>129</v>
      </c>
      <c r="T129" s="2" t="s">
        <v>131</v>
      </c>
    </row>
    <row r="130" ht="12.75">
      <c r="T130" s="2" t="s">
        <v>132</v>
      </c>
    </row>
  </sheetData>
  <sheetProtection/>
  <mergeCells count="10">
    <mergeCell ref="B81:E81"/>
    <mergeCell ref="A3:H3"/>
    <mergeCell ref="A5:H5"/>
    <mergeCell ref="A6:H7"/>
    <mergeCell ref="A4:H4"/>
    <mergeCell ref="J77:N77"/>
    <mergeCell ref="C47:H47"/>
    <mergeCell ref="C48:H48"/>
    <mergeCell ref="C9:H9"/>
    <mergeCell ref="C10:H10"/>
  </mergeCells>
  <dataValidations count="25">
    <dataValidation type="list" allowBlank="1" showInputMessage="1" showErrorMessage="1" sqref="G41 G70:H71 G22 G24 G26 G28 G20 G34 G36 G38 G51 G58 G60 G30:H32 G67 G62:H64">
      <formula1>$Q$16:$Q$19</formula1>
    </dataValidation>
    <dataValidation type="list" allowBlank="1" showInputMessage="1" showErrorMessage="1" sqref="C73">
      <formula1>$T$127:$T$130</formula1>
    </dataValidation>
    <dataValidation type="list" allowBlank="1" showInputMessage="1" showErrorMessage="1" sqref="G18:G19 G55:G57 G52 G23 G25 G27 G29 G33 G35 G37 G39:G40 G42:G44 G50 G21 G59 G61 G65:G66 G68:G69 G72:G73">
      <formula1>$Q$15:$Q$19</formula1>
    </dataValidation>
    <dataValidation type="list" allowBlank="1" showInputMessage="1" showErrorMessage="1" sqref="C18">
      <formula1>$T$5:$T$10</formula1>
    </dataValidation>
    <dataValidation type="list" allowBlank="1" showInputMessage="1" showErrorMessage="1" sqref="C19">
      <formula1>$T$11:$T$15</formula1>
    </dataValidation>
    <dataValidation type="list" allowBlank="1" showInputMessage="1" showErrorMessage="1" sqref="C21">
      <formula1>$T$16:$T$20</formula1>
    </dataValidation>
    <dataValidation type="list" allowBlank="1" showInputMessage="1" showErrorMessage="1" sqref="C23 C33">
      <formula1>$T$21:$T$26</formula1>
    </dataValidation>
    <dataValidation type="list" allowBlank="1" showInputMessage="1" showErrorMessage="1" sqref="C27 C52">
      <formula1>$T$33:$T$38</formula1>
    </dataValidation>
    <dataValidation type="list" allowBlank="1" showInputMessage="1" showErrorMessage="1" sqref="C37">
      <formula1>$T$51:$T$56</formula1>
    </dataValidation>
    <dataValidation type="list" allowBlank="1" showInputMessage="1" showErrorMessage="1" sqref="C39">
      <formula1>$T$57:$T$61</formula1>
    </dataValidation>
    <dataValidation type="list" allowBlank="1" showInputMessage="1" showErrorMessage="1" sqref="C40">
      <formula1>$T$62:$T$66</formula1>
    </dataValidation>
    <dataValidation type="list" allowBlank="1" showInputMessage="1" showErrorMessage="1" sqref="C42">
      <formula1>$T$67:$T$71</formula1>
    </dataValidation>
    <dataValidation type="list" allowBlank="1" showInputMessage="1" showErrorMessage="1" sqref="C43">
      <formula1>$T$72:$T$74</formula1>
    </dataValidation>
    <dataValidation type="list" allowBlank="1" showInputMessage="1" showErrorMessage="1" sqref="C44">
      <formula1>$T$75:$T$80</formula1>
    </dataValidation>
    <dataValidation type="list" allowBlank="1" showInputMessage="1" showErrorMessage="1" sqref="C56">
      <formula1>$T$93:$T$98</formula1>
    </dataValidation>
    <dataValidation type="list" allowBlank="1" showInputMessage="1" showErrorMessage="1" sqref="C57">
      <formula1>$T$100:$T$103</formula1>
    </dataValidation>
    <dataValidation type="list" allowBlank="1" showInputMessage="1" showErrorMessage="1" sqref="C59">
      <formula1>$T$104:$T$109</formula1>
    </dataValidation>
    <dataValidation type="list" allowBlank="1" showInputMessage="1" showErrorMessage="1" sqref="C61">
      <formula1>$T$110:$T$115</formula1>
    </dataValidation>
    <dataValidation type="list" allowBlank="1" showInputMessage="1" showErrorMessage="1" sqref="C65:C66 C68:C69">
      <formula1>$T$116:$T$121</formula1>
    </dataValidation>
    <dataValidation type="list" allowBlank="1" showInputMessage="1" showErrorMessage="1" sqref="C72">
      <formula1>$T$122:$T$126</formula1>
    </dataValidation>
    <dataValidation type="list" allowBlank="1" showInputMessage="1" showErrorMessage="1" sqref="C55">
      <formula1>$T$87:$T$92</formula1>
    </dataValidation>
    <dataValidation type="list" allowBlank="1" showInputMessage="1" showErrorMessage="1" sqref="C50">
      <formula1>$T$81:$T$86</formula1>
    </dataValidation>
    <dataValidation type="list" allowBlank="1" showInputMessage="1" showErrorMessage="1" sqref="C25">
      <formula1>$T$27:$T$32</formula1>
    </dataValidation>
    <dataValidation type="list" allowBlank="1" showInputMessage="1" showErrorMessage="1" sqref="C35">
      <formula1>$T$45:$T$50</formula1>
    </dataValidation>
    <dataValidation type="list" allowBlank="1" showInputMessage="1" showErrorMessage="1" sqref="C29">
      <formula1>$T$39:$T$44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d10090</dc:creator>
  <cp:keywords/>
  <dc:description/>
  <cp:lastModifiedBy>Vandegehuchte, Maurits</cp:lastModifiedBy>
  <dcterms:created xsi:type="dcterms:W3CDTF">2014-03-26T13:46:16Z</dcterms:created>
  <dcterms:modified xsi:type="dcterms:W3CDTF">2015-01-09T12:51:21Z</dcterms:modified>
  <cp:category/>
  <cp:version/>
  <cp:contentType/>
  <cp:contentStatus/>
</cp:coreProperties>
</file>